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DieseArbeitsmappe" defaultThemeVersion="124226"/>
  <bookViews>
    <workbookView xWindow="0" yWindow="255" windowWidth="15195" windowHeight="8205" tabRatio="221" firstSheet="2" activeTab="2"/>
  </bookViews>
  <sheets>
    <sheet name="Tabelle1" sheetId="5" state="hidden" r:id="rId1"/>
    <sheet name="Tabelle 2" sheetId="8" state="hidden" r:id="rId2"/>
    <sheet name="Web" sheetId="19" r:id="rId3"/>
  </sheets>
  <definedNames>
    <definedName name="_xlnm.Print_Area" localSheetId="2">Web!$A$1:$J$44</definedName>
  </definedNames>
  <calcPr calcId="125725"/>
</workbook>
</file>

<file path=xl/calcChain.xml><?xml version="1.0" encoding="utf-8"?>
<calcChain xmlns="http://schemas.openxmlformats.org/spreadsheetml/2006/main">
  <c r="J9" i="19"/>
  <c r="I44" l="1"/>
  <c r="M38"/>
  <c r="L38"/>
  <c r="A44" l="1"/>
  <c r="M42"/>
  <c r="M43" s="1"/>
  <c r="L42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K42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O39"/>
  <c r="O40" s="1"/>
  <c r="O41" s="1"/>
  <c r="O42" s="1"/>
  <c r="O38"/>
  <c r="B35"/>
  <c r="B36" s="1"/>
  <c r="B37" s="1"/>
  <c r="B38" s="1"/>
  <c r="B39" s="1"/>
  <c r="B40" s="1"/>
  <c r="B41" s="1"/>
  <c r="B42" s="1"/>
  <c r="L33"/>
  <c r="L32"/>
  <c r="L31" s="1"/>
  <c r="L30" s="1"/>
  <c r="L29" s="1"/>
  <c r="L28" s="1"/>
  <c r="L27" s="1"/>
  <c r="H32"/>
  <c r="G32"/>
  <c r="E32"/>
  <c r="D32"/>
  <c r="H31"/>
  <c r="E31"/>
  <c r="J25"/>
  <c r="O24"/>
  <c r="M24"/>
  <c r="P21"/>
  <c r="M21" s="1"/>
  <c r="L19"/>
  <c r="G42" s="1"/>
  <c r="K19"/>
  <c r="D42" s="1"/>
  <c r="L18"/>
  <c r="G41" s="1"/>
  <c r="K18"/>
  <c r="D41" s="1"/>
  <c r="L17"/>
  <c r="G40" s="1"/>
  <c r="K17"/>
  <c r="D40" s="1"/>
  <c r="L16"/>
  <c r="G39" s="1"/>
  <c r="K16"/>
  <c r="D39" s="1"/>
  <c r="L15"/>
  <c r="G38" s="1"/>
  <c r="K15"/>
  <c r="D38" s="1"/>
  <c r="L14"/>
  <c r="G37" s="1"/>
  <c r="K14"/>
  <c r="D37" s="1"/>
  <c r="L13"/>
  <c r="G36" s="1"/>
  <c r="K13"/>
  <c r="D36" s="1"/>
  <c r="L12"/>
  <c r="G35" s="1"/>
  <c r="K12"/>
  <c r="D35" s="1"/>
  <c r="L11"/>
  <c r="K11"/>
  <c r="L8"/>
  <c r="O7"/>
  <c r="N7" s="1"/>
  <c r="M7" s="1"/>
  <c r="R5"/>
  <c r="R6" s="1"/>
  <c r="R7" s="1"/>
  <c r="R8" s="1"/>
  <c r="R9" s="1"/>
  <c r="R10" s="1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I4"/>
  <c r="O27" l="1"/>
  <c r="N20"/>
  <c r="N21"/>
  <c r="O33"/>
  <c r="M28"/>
  <c r="K27"/>
  <c r="C35" s="1"/>
  <c r="R33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57" s="1"/>
  <c r="R58" s="1"/>
  <c r="R59" s="1"/>
  <c r="R60" s="1"/>
  <c r="R61" s="1"/>
  <c r="K32"/>
  <c r="K31"/>
  <c r="C39" s="1"/>
  <c r="A39" s="1"/>
  <c r="K29"/>
  <c r="C37" s="1"/>
  <c r="A37" s="1"/>
  <c r="K33"/>
  <c r="C41" s="1"/>
  <c r="A41" s="1"/>
  <c r="K34"/>
  <c r="C42" s="1"/>
  <c r="A42" s="1"/>
  <c r="K30"/>
  <c r="C38" s="1"/>
  <c r="A38" s="1"/>
  <c r="K28"/>
  <c r="C36" s="1"/>
  <c r="O43"/>
  <c r="O44" s="1"/>
  <c r="O45" s="1"/>
  <c r="O46" s="1"/>
  <c r="O47" s="1"/>
  <c r="O48" s="1"/>
  <c r="P7"/>
  <c r="C40"/>
  <c r="A40" s="1"/>
  <c r="J7"/>
  <c r="O29"/>
  <c r="A33"/>
  <c r="O34"/>
  <c r="O32"/>
  <c r="O31"/>
  <c r="O28"/>
  <c r="O30"/>
  <c r="M27"/>
  <c r="J23"/>
  <c r="K23"/>
  <c r="M23" s="1"/>
  <c r="M44"/>
  <c r="M29" s="1"/>
  <c r="I24" l="1"/>
  <c r="L23" s="1"/>
  <c r="L25" s="1"/>
  <c r="A36"/>
  <c r="A35"/>
  <c r="M45"/>
  <c r="M30" s="1"/>
  <c r="F35" l="1"/>
  <c r="I37"/>
  <c r="I35"/>
  <c r="N27" s="1"/>
  <c r="H35" s="1"/>
  <c r="I36"/>
  <c r="N28" s="1"/>
  <c r="H36" s="1"/>
  <c r="F37"/>
  <c r="F36"/>
  <c r="P28" s="1"/>
  <c r="E36" s="1"/>
  <c r="F40"/>
  <c r="P32" s="1"/>
  <c r="E40" s="1"/>
  <c r="F42"/>
  <c r="P34" s="1"/>
  <c r="E42" s="1"/>
  <c r="F41"/>
  <c r="P33" s="1"/>
  <c r="E41" s="1"/>
  <c r="I38"/>
  <c r="N30" s="1"/>
  <c r="H38" s="1"/>
  <c r="F39"/>
  <c r="P31" s="1"/>
  <c r="E39" s="1"/>
  <c r="F38"/>
  <c r="P30" s="1"/>
  <c r="E38" s="1"/>
  <c r="L26"/>
  <c r="P29"/>
  <c r="E37" s="1"/>
  <c r="P27"/>
  <c r="E35" s="1"/>
  <c r="M46"/>
  <c r="M31" s="1"/>
  <c r="I39" s="1"/>
  <c r="N31" s="1"/>
  <c r="H39" s="1"/>
  <c r="N29" l="1"/>
  <c r="H37" s="1"/>
  <c r="M47"/>
  <c r="M48" l="1"/>
  <c r="M32"/>
  <c r="I40" s="1"/>
  <c r="N32" s="1"/>
  <c r="H40" s="1"/>
  <c r="M49" l="1"/>
  <c r="M33"/>
  <c r="I41" s="1"/>
  <c r="N33" s="1"/>
  <c r="H41" s="1"/>
  <c r="M50" l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34"/>
  <c r="I42" s="1"/>
  <c r="N34" s="1"/>
  <c r="H42" s="1"/>
</calcChain>
</file>

<file path=xl/sharedStrings.xml><?xml version="1.0" encoding="utf-8"?>
<sst xmlns="http://schemas.openxmlformats.org/spreadsheetml/2006/main" count="93" uniqueCount="65">
  <si>
    <t>60 ans</t>
  </si>
  <si>
    <t>61 ans</t>
  </si>
  <si>
    <t>62 ans</t>
  </si>
  <si>
    <t>63 ans</t>
  </si>
  <si>
    <t>64 ans</t>
  </si>
  <si>
    <t>65 ans</t>
  </si>
  <si>
    <t>Jusqu'en 2003</t>
  </si>
  <si>
    <t>Dès 2004</t>
  </si>
  <si>
    <t>Im Alter 60</t>
  </si>
  <si>
    <t>Im Alter 61</t>
  </si>
  <si>
    <t>Im Alter 62</t>
  </si>
  <si>
    <t>Im Alter 63</t>
  </si>
  <si>
    <t>Im Alter 64</t>
  </si>
  <si>
    <t>Im Alter 65</t>
  </si>
  <si>
    <t>CHF</t>
  </si>
  <si>
    <t>Geburtsdatum</t>
  </si>
  <si>
    <t>Zins</t>
  </si>
  <si>
    <t>Zinsfaktoren für Projektion</t>
  </si>
  <si>
    <t>TT</t>
  </si>
  <si>
    <t>%</t>
  </si>
  <si>
    <t>Persönliche Daten</t>
  </si>
  <si>
    <t xml:space="preserve">Berechnung für </t>
  </si>
  <si>
    <t>Gewünschtes Auszahlungsdatum</t>
  </si>
  <si>
    <t>xBVG</t>
  </si>
  <si>
    <t>Maximum inkl. AGH 50</t>
  </si>
  <si>
    <t>UWS</t>
  </si>
  <si>
    <t>Zinsfakt.JJ</t>
  </si>
  <si>
    <t>MM Pens.</t>
  </si>
  <si>
    <t>Gültig am</t>
  </si>
  <si>
    <t>Jahresrente</t>
  </si>
  <si>
    <t>MM Kürz.AR</t>
  </si>
  <si>
    <t>Altersguthaben im Alter 50, sofern bekannt</t>
  </si>
  <si>
    <t>AGH 31.12.</t>
  </si>
  <si>
    <t>Die Invaliden- und Hinterlassenenleistungen (Risikoleistungen) werden bei einem Vorbezug nicht gekürzt, da diese in Prozenten des versicherten Lohnes berechnet sind.</t>
  </si>
  <si>
    <t xml:space="preserve">Vorbezug des Pensionskassenguthabens für selbstbewohntes Wohneigentum WEF </t>
  </si>
  <si>
    <t>TT.MM.JJJJ</t>
  </si>
  <si>
    <t>-  Altersrente im Alter 63</t>
  </si>
  <si>
    <t>-  Altersrente im Alter 62</t>
  </si>
  <si>
    <t>-  Altersrente im Alter 61</t>
  </si>
  <si>
    <t>-  Altersrente im Alter 60</t>
  </si>
  <si>
    <t xml:space="preserve">* Maximal möglicher Vorbezug </t>
  </si>
  <si>
    <t>Übersicht über die Leistungskürzung</t>
  </si>
  <si>
    <t>MM</t>
  </si>
  <si>
    <t>Alter in Dezimalen</t>
  </si>
  <si>
    <t>Angaben Versicherungsausweis, gültig ab:</t>
  </si>
  <si>
    <t xml:space="preserve">-  Altersrente im Alter 65 </t>
  </si>
  <si>
    <t>-  Altersrente im Alter 64</t>
  </si>
  <si>
    <t>CHF für Konvertierung belassen!!!</t>
  </si>
  <si>
    <t>-  Altersrente im Alter 59</t>
  </si>
  <si>
    <t>-  Altersrente im Alter 58</t>
  </si>
  <si>
    <t>Umwandlungssatz</t>
  </si>
  <si>
    <t>ohne WEF</t>
  </si>
  <si>
    <t>Gewünschter Vorbezug (WEF)</t>
  </si>
  <si>
    <t xml:space="preserve">Kürzung </t>
  </si>
  <si>
    <t xml:space="preserve">Leistungsvergleich, hochgerechnet mit </t>
  </si>
  <si>
    <t>Altersrente, hochgerechnet mit einem Zins von</t>
  </si>
  <si>
    <t>Endkapital</t>
  </si>
  <si>
    <t xml:space="preserve">Altersleistung im </t>
  </si>
  <si>
    <t>Maximal möglicher Betrag für Vorbezug WEF</t>
  </si>
  <si>
    <t xml:space="preserve">Ab Alter 50 kann das Altersguthaben im Alter 50 oder die Hälfte des aktuellen Altersguthabens (höherer Betrag) bezogen werden. </t>
  </si>
  <si>
    <t>Werden die Altersleistungen vor Vorbezug nicht eingegeben, wird nur die Leistungskürzung ausgewiesen. Der Umwandlungsatz (UWS) ist jener Prozentsatz, mit welchem das voraussichtliche Altersguthaben (Endkapital) bei der tatsächlichen Pensionierung umgerechnet wird.</t>
  </si>
  <si>
    <t>Test Friedrich Heinz</t>
  </si>
  <si>
    <t xml:space="preserve">Füllen Sie nachstehende Felder aus. Dazu benötigen Sie den letzten und aktuellen Versicherungsausweis. Die Berechnungen haben reinen Informationscharakter und begründen keinerlei Ansprüche; gültig sind einzig die offiziellen Berechnungen. Weitere Informationen zum WEF-Vorbezug oder der Verpfändung finden Sie im Reglement. </t>
  </si>
  <si>
    <t xml:space="preserve">Zinssatz laufendes Jahr </t>
  </si>
  <si>
    <t>nach WEF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</si>
</sst>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0.0%"/>
    <numFmt numFmtId="165" formatCode="0.00000"/>
    <numFmt numFmtId="166" formatCode="#,##0.00000"/>
    <numFmt numFmtId="167" formatCode="_ * #,##0_ ;_ * \-#,##0_ ;_ * &quot;-&quot;??_ ;_ @_ "/>
    <numFmt numFmtId="168" formatCode="[$-807]d/\ mmmm\ yyyy;@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ill Sans MT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2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indexed="9"/>
      <name val="Arial"/>
      <family val="2"/>
    </font>
    <font>
      <sz val="9"/>
      <color indexed="10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9"/>
      <color rgb="FFFF0000"/>
      <name val="Arial"/>
      <family val="2"/>
    </font>
    <font>
      <b/>
      <sz val="7"/>
      <color rgb="FFFF0000"/>
      <name val="Arial"/>
      <family val="2"/>
    </font>
    <font>
      <b/>
      <sz val="8"/>
      <color rgb="FFFF0000"/>
      <name val="Arial"/>
      <family val="2"/>
    </font>
    <font>
      <b/>
      <sz val="8.5"/>
      <color theme="0"/>
      <name val="Arial"/>
      <family val="2"/>
    </font>
    <font>
      <sz val="9"/>
      <color theme="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i/>
      <sz val="9"/>
      <color rgb="FFFF0000"/>
      <name val="Arial"/>
      <family val="2"/>
    </font>
    <font>
      <b/>
      <sz val="8.5"/>
      <color rgb="FFFF0000"/>
      <name val="Arial"/>
      <family val="2"/>
    </font>
    <font>
      <b/>
      <sz val="10"/>
      <color rgb="FFC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8EDE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3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8" fillId="0" borderId="0" xfId="0" quotePrefix="1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right" vertical="center"/>
      <protection hidden="1"/>
    </xf>
    <xf numFmtId="10" fontId="9" fillId="0" borderId="0" xfId="0" applyNumberFormat="1" applyFont="1" applyFill="1" applyBorder="1" applyAlignment="1" applyProtection="1">
      <alignment vertical="center"/>
      <protection hidden="1"/>
    </xf>
    <xf numFmtId="14" fontId="8" fillId="0" borderId="0" xfId="0" applyNumberFormat="1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right" vertical="center"/>
      <protection hidden="1"/>
    </xf>
    <xf numFmtId="10" fontId="7" fillId="0" borderId="0" xfId="0" applyNumberFormat="1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Protection="1">
      <protection hidden="1"/>
    </xf>
    <xf numFmtId="0" fontId="3" fillId="2" borderId="1" xfId="0" applyFont="1" applyFill="1" applyBorder="1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1" fontId="8" fillId="0" borderId="0" xfId="0" applyNumberFormat="1" applyFont="1" applyAlignment="1" applyProtection="1">
      <alignment vertical="center"/>
      <protection hidden="1"/>
    </xf>
    <xf numFmtId="10" fontId="4" fillId="3" borderId="1" xfId="0" applyNumberFormat="1" applyFont="1" applyFill="1" applyBorder="1" applyAlignment="1" applyProtection="1">
      <alignment horizontal="center"/>
      <protection hidden="1"/>
    </xf>
    <xf numFmtId="10" fontId="8" fillId="0" borderId="0" xfId="0" applyNumberFormat="1" applyFont="1" applyAlignment="1" applyProtection="1">
      <alignment vertical="center"/>
      <protection hidden="1"/>
    </xf>
    <xf numFmtId="165" fontId="5" fillId="0" borderId="1" xfId="0" applyNumberFormat="1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horizontal="right"/>
      <protection hidden="1"/>
    </xf>
    <xf numFmtId="1" fontId="8" fillId="0" borderId="0" xfId="0" applyNumberFormat="1" applyFont="1" applyAlignment="1" applyProtection="1">
      <alignment horizontal="right" vertical="center"/>
      <protection hidden="1"/>
    </xf>
    <xf numFmtId="1" fontId="7" fillId="0" borderId="0" xfId="0" applyNumberFormat="1" applyFont="1" applyProtection="1">
      <protection hidden="1"/>
    </xf>
    <xf numFmtId="4" fontId="8" fillId="0" borderId="0" xfId="0" applyNumberFormat="1" applyFont="1" applyAlignment="1" applyProtection="1">
      <alignment vertical="center"/>
      <protection hidden="1"/>
    </xf>
    <xf numFmtId="3" fontId="2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quotePrefix="1" applyFont="1" applyAlignment="1" applyProtection="1">
      <alignment vertical="center"/>
      <protection hidden="1"/>
    </xf>
    <xf numFmtId="0" fontId="10" fillId="0" borderId="2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8" fillId="5" borderId="0" xfId="0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2" fontId="3" fillId="2" borderId="1" xfId="0" applyNumberFormat="1" applyFont="1" applyFill="1" applyBorder="1" applyProtection="1">
      <protection hidden="1"/>
    </xf>
    <xf numFmtId="0" fontId="11" fillId="0" borderId="0" xfId="0" applyFont="1" applyFill="1" applyAlignment="1" applyProtection="1">
      <alignment vertical="center"/>
      <protection hidden="1"/>
    </xf>
    <xf numFmtId="14" fontId="10" fillId="0" borderId="2" xfId="0" applyNumberFormat="1" applyFont="1" applyFill="1" applyBorder="1" applyAlignment="1" applyProtection="1">
      <alignment horizontal="right" vertical="center"/>
      <protection hidden="1"/>
    </xf>
    <xf numFmtId="1" fontId="17" fillId="0" borderId="0" xfId="0" applyNumberFormat="1" applyFont="1" applyAlignment="1" applyProtection="1">
      <alignment vertical="center"/>
      <protection hidden="1"/>
    </xf>
    <xf numFmtId="4" fontId="18" fillId="0" borderId="0" xfId="0" applyNumberFormat="1" applyFont="1" applyAlignment="1" applyProtection="1">
      <alignment vertical="center"/>
      <protection hidden="1"/>
    </xf>
    <xf numFmtId="3" fontId="2" fillId="9" borderId="1" xfId="0" applyNumberFormat="1" applyFont="1" applyFill="1" applyBorder="1" applyAlignment="1" applyProtection="1">
      <alignment vertical="center"/>
      <protection hidden="1"/>
    </xf>
    <xf numFmtId="3" fontId="8" fillId="9" borderId="1" xfId="0" applyNumberFormat="1" applyFont="1" applyFill="1" applyBorder="1" applyAlignment="1" applyProtection="1">
      <alignment vertical="center"/>
      <protection hidden="1"/>
    </xf>
    <xf numFmtId="0" fontId="2" fillId="9" borderId="1" xfId="0" applyFont="1" applyFill="1" applyBorder="1" applyAlignment="1" applyProtection="1">
      <alignment vertical="center"/>
      <protection hidden="1"/>
    </xf>
    <xf numFmtId="0" fontId="8" fillId="9" borderId="1" xfId="0" applyFont="1" applyFill="1" applyBorder="1" applyAlignment="1" applyProtection="1">
      <alignment vertical="center"/>
      <protection hidden="1"/>
    </xf>
    <xf numFmtId="166" fontId="2" fillId="9" borderId="1" xfId="0" applyNumberFormat="1" applyFont="1" applyFill="1" applyBorder="1" applyAlignment="1" applyProtection="1">
      <alignment vertical="center"/>
      <protection hidden="1"/>
    </xf>
    <xf numFmtId="167" fontId="2" fillId="9" borderId="1" xfId="1" applyNumberFormat="1" applyFont="1" applyFill="1" applyBorder="1" applyAlignment="1" applyProtection="1">
      <alignment vertical="center"/>
      <protection hidden="1"/>
    </xf>
    <xf numFmtId="1" fontId="2" fillId="9" borderId="1" xfId="0" applyNumberFormat="1" applyFont="1" applyFill="1" applyBorder="1" applyAlignment="1" applyProtection="1">
      <alignment vertical="center"/>
      <protection hidden="1"/>
    </xf>
    <xf numFmtId="0" fontId="4" fillId="9" borderId="1" xfId="0" applyFont="1" applyFill="1" applyBorder="1" applyAlignment="1" applyProtection="1">
      <alignment vertical="center"/>
      <protection hidden="1"/>
    </xf>
    <xf numFmtId="0" fontId="2" fillId="9" borderId="1" xfId="0" applyFont="1" applyFill="1" applyBorder="1" applyProtection="1">
      <protection hidden="1"/>
    </xf>
    <xf numFmtId="2" fontId="2" fillId="9" borderId="1" xfId="0" applyNumberFormat="1" applyFont="1" applyFill="1" applyBorder="1" applyAlignment="1" applyProtection="1">
      <alignment vertical="center"/>
      <protection hidden="1"/>
    </xf>
    <xf numFmtId="165" fontId="2" fillId="9" borderId="1" xfId="0" applyNumberFormat="1" applyFont="1" applyFill="1" applyBorder="1" applyAlignment="1" applyProtection="1">
      <alignment vertical="center"/>
      <protection hidden="1"/>
    </xf>
    <xf numFmtId="1" fontId="8" fillId="10" borderId="1" xfId="0" applyNumberFormat="1" applyFont="1" applyFill="1" applyBorder="1" applyAlignment="1" applyProtection="1">
      <alignment vertical="center"/>
      <protection hidden="1"/>
    </xf>
    <xf numFmtId="1" fontId="2" fillId="10" borderId="1" xfId="0" applyNumberFormat="1" applyFont="1" applyFill="1" applyBorder="1" applyAlignment="1" applyProtection="1">
      <alignment horizontal="right" vertical="center"/>
      <protection hidden="1"/>
    </xf>
    <xf numFmtId="1" fontId="2" fillId="10" borderId="1" xfId="0" applyNumberFormat="1" applyFont="1" applyFill="1" applyBorder="1" applyProtection="1">
      <protection hidden="1"/>
    </xf>
    <xf numFmtId="1" fontId="2" fillId="10" borderId="1" xfId="0" applyNumberFormat="1" applyFont="1" applyFill="1" applyBorder="1" applyAlignment="1" applyProtection="1">
      <alignment vertical="center"/>
      <protection hidden="1"/>
    </xf>
    <xf numFmtId="14" fontId="4" fillId="10" borderId="1" xfId="0" applyNumberFormat="1" applyFont="1" applyFill="1" applyBorder="1" applyAlignment="1" applyProtection="1">
      <alignment vertical="center"/>
      <protection hidden="1"/>
    </xf>
    <xf numFmtId="1" fontId="2" fillId="11" borderId="1" xfId="0" applyNumberFormat="1" applyFont="1" applyFill="1" applyBorder="1" applyAlignment="1" applyProtection="1">
      <alignment vertical="center"/>
      <protection hidden="1"/>
    </xf>
    <xf numFmtId="14" fontId="2" fillId="11" borderId="2" xfId="0" applyNumberFormat="1" applyFont="1" applyFill="1" applyBorder="1" applyAlignment="1" applyProtection="1">
      <alignment horizontal="center" vertical="center"/>
      <protection hidden="1"/>
    </xf>
    <xf numFmtId="0" fontId="2" fillId="11" borderId="1" xfId="0" applyFont="1" applyFill="1" applyBorder="1" applyAlignment="1" applyProtection="1">
      <alignment vertical="center"/>
      <protection hidden="1"/>
    </xf>
    <xf numFmtId="0" fontId="4" fillId="11" borderId="1" xfId="0" applyFont="1" applyFill="1" applyBorder="1" applyAlignment="1" applyProtection="1">
      <alignment vertical="center"/>
      <protection hidden="1"/>
    </xf>
    <xf numFmtId="14" fontId="10" fillId="0" borderId="0" xfId="0" applyNumberFormat="1" applyFont="1" applyFill="1" applyBorder="1" applyAlignment="1" applyProtection="1">
      <alignment horizontal="right" vertical="center"/>
      <protection hidden="1"/>
    </xf>
    <xf numFmtId="166" fontId="2" fillId="12" borderId="1" xfId="0" applyNumberFormat="1" applyFont="1" applyFill="1" applyBorder="1" applyAlignment="1" applyProtection="1">
      <alignment vertical="center"/>
      <protection hidden="1"/>
    </xf>
    <xf numFmtId="167" fontId="2" fillId="12" borderId="1" xfId="1" applyNumberFormat="1" applyFont="1" applyFill="1" applyBorder="1" applyAlignment="1" applyProtection="1">
      <alignment vertical="center"/>
      <protection hidden="1"/>
    </xf>
    <xf numFmtId="3" fontId="2" fillId="12" borderId="1" xfId="0" applyNumberFormat="1" applyFont="1" applyFill="1" applyBorder="1" applyAlignment="1" applyProtection="1">
      <alignment vertical="center"/>
      <protection hidden="1"/>
    </xf>
    <xf numFmtId="0" fontId="2" fillId="12" borderId="1" xfId="0" applyFont="1" applyFill="1" applyBorder="1" applyAlignment="1" applyProtection="1">
      <alignment vertical="center"/>
      <protection hidden="1"/>
    </xf>
    <xf numFmtId="165" fontId="2" fillId="12" borderId="1" xfId="0" applyNumberFormat="1" applyFont="1" applyFill="1" applyBorder="1" applyAlignment="1" applyProtection="1">
      <alignment vertical="center"/>
      <protection hidden="1"/>
    </xf>
    <xf numFmtId="10" fontId="8" fillId="12" borderId="0" xfId="0" applyNumberFormat="1" applyFont="1" applyFill="1" applyAlignment="1" applyProtection="1">
      <alignment vertical="center"/>
      <protection hidden="1"/>
    </xf>
    <xf numFmtId="4" fontId="8" fillId="12" borderId="0" xfId="0" applyNumberFormat="1" applyFont="1" applyFill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5" fillId="0" borderId="6" xfId="0" quotePrefix="1" applyFont="1" applyFill="1" applyBorder="1" applyAlignment="1" applyProtection="1">
      <alignment vertical="center"/>
      <protection hidden="1"/>
    </xf>
    <xf numFmtId="0" fontId="15" fillId="0" borderId="3" xfId="0" applyFont="1" applyFill="1" applyBorder="1" applyAlignment="1" applyProtection="1">
      <alignment horizontal="center" vertical="center"/>
      <protection hidden="1"/>
    </xf>
    <xf numFmtId="0" fontId="15" fillId="0" borderId="3" xfId="0" applyFont="1" applyFill="1" applyBorder="1" applyAlignment="1" applyProtection="1">
      <alignment horizontal="right" vertical="center"/>
      <protection hidden="1"/>
    </xf>
    <xf numFmtId="0" fontId="15" fillId="0" borderId="8" xfId="0" applyFont="1" applyFill="1" applyBorder="1" applyAlignment="1" applyProtection="1">
      <alignment vertical="center"/>
      <protection hidden="1"/>
    </xf>
    <xf numFmtId="0" fontId="16" fillId="0" borderId="2" xfId="0" applyFont="1" applyFill="1" applyBorder="1" applyAlignment="1" applyProtection="1">
      <alignment vertical="center"/>
      <protection hidden="1"/>
    </xf>
    <xf numFmtId="14" fontId="15" fillId="0" borderId="2" xfId="0" applyNumberFormat="1" applyFont="1" applyFill="1" applyBorder="1" applyAlignment="1" applyProtection="1">
      <alignment horizontal="right" vertical="center"/>
      <protection hidden="1"/>
    </xf>
    <xf numFmtId="14" fontId="15" fillId="0" borderId="8" xfId="0" applyNumberFormat="1" applyFont="1" applyFill="1" applyBorder="1" applyAlignment="1" applyProtection="1">
      <alignment horizontal="right" vertical="center"/>
      <protection hidden="1"/>
    </xf>
    <xf numFmtId="0" fontId="15" fillId="0" borderId="6" xfId="0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19" fillId="0" borderId="9" xfId="0" quotePrefix="1" applyFont="1" applyFill="1" applyBorder="1" applyAlignment="1" applyProtection="1">
      <alignment vertical="center"/>
      <protection hidden="1"/>
    </xf>
    <xf numFmtId="0" fontId="10" fillId="0" borderId="8" xfId="0" applyFont="1" applyFill="1" applyBorder="1" applyAlignment="1" applyProtection="1">
      <alignment horizontal="left" vertical="center"/>
      <protection hidden="1"/>
    </xf>
    <xf numFmtId="0" fontId="10" fillId="0" borderId="8" xfId="0" applyFont="1" applyBorder="1" applyAlignment="1" applyProtection="1">
      <alignment vertical="center"/>
      <protection hidden="1"/>
    </xf>
    <xf numFmtId="0" fontId="19" fillId="0" borderId="0" xfId="0" quotePrefix="1" applyFont="1" applyFill="1" applyBorder="1" applyAlignment="1" applyProtection="1">
      <alignment vertical="center"/>
      <protection hidden="1"/>
    </xf>
    <xf numFmtId="1" fontId="4" fillId="12" borderId="0" xfId="0" applyNumberFormat="1" applyFont="1" applyFill="1" applyAlignment="1" applyProtection="1">
      <alignment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3" fontId="10" fillId="0" borderId="3" xfId="1" applyNumberFormat="1" applyFont="1" applyFill="1" applyBorder="1" applyAlignment="1" applyProtection="1">
      <alignment horizontal="right" vertical="center"/>
      <protection hidden="1"/>
    </xf>
    <xf numFmtId="3" fontId="10" fillId="0" borderId="6" xfId="1" applyNumberFormat="1" applyFont="1" applyFill="1" applyBorder="1" applyAlignment="1" applyProtection="1">
      <alignment horizontal="right" vertical="center"/>
      <protection hidden="1"/>
    </xf>
    <xf numFmtId="168" fontId="10" fillId="0" borderId="0" xfId="0" quotePrefix="1" applyNumberFormat="1" applyFont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right"/>
      <protection hidden="1"/>
    </xf>
    <xf numFmtId="10" fontId="9" fillId="0" borderId="0" xfId="0" applyNumberFormat="1" applyFont="1" applyFill="1" applyBorder="1" applyAlignment="1" applyProtection="1">
      <alignment horizontal="right"/>
      <protection hidden="1"/>
    </xf>
    <xf numFmtId="14" fontId="6" fillId="0" borderId="0" xfId="0" applyNumberFormat="1" applyFont="1" applyAlignment="1" applyProtection="1">
      <alignment horizontal="right"/>
      <protection hidden="1"/>
    </xf>
    <xf numFmtId="14" fontId="2" fillId="0" borderId="0" xfId="0" applyNumberFormat="1" applyFont="1" applyAlignment="1" applyProtection="1">
      <alignment horizontal="right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24" fillId="0" borderId="0" xfId="0" applyFont="1" applyFill="1" applyBorder="1" applyAlignment="1" applyProtection="1">
      <alignment vertical="center"/>
      <protection hidden="1"/>
    </xf>
    <xf numFmtId="0" fontId="23" fillId="0" borderId="0" xfId="0" applyFont="1" applyFill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protection hidden="1"/>
    </xf>
    <xf numFmtId="0" fontId="17" fillId="0" borderId="0" xfId="0" quotePrefix="1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6" fillId="0" borderId="2" xfId="0" applyFont="1" applyFill="1" applyBorder="1" applyAlignment="1" applyProtection="1">
      <alignment vertical="center"/>
      <protection hidden="1"/>
    </xf>
    <xf numFmtId="0" fontId="26" fillId="0" borderId="3" xfId="0" quotePrefix="1" applyFont="1" applyFill="1" applyBorder="1" applyAlignment="1" applyProtection="1">
      <alignment vertical="center"/>
      <protection hidden="1"/>
    </xf>
    <xf numFmtId="168" fontId="17" fillId="0" borderId="0" xfId="0" quotePrefix="1" applyNumberFormat="1" applyFont="1" applyAlignment="1" applyProtection="1">
      <alignment horizontal="left"/>
      <protection hidden="1"/>
    </xf>
    <xf numFmtId="0" fontId="24" fillId="0" borderId="0" xfId="0" quotePrefix="1" applyFont="1" applyAlignment="1" applyProtection="1">
      <alignment vertical="center"/>
      <protection hidden="1"/>
    </xf>
    <xf numFmtId="0" fontId="11" fillId="5" borderId="0" xfId="0" applyFont="1" applyFill="1" applyAlignment="1" applyProtection="1">
      <alignment vertical="center"/>
      <protection hidden="1"/>
    </xf>
    <xf numFmtId="0" fontId="20" fillId="14" borderId="4" xfId="0" applyFont="1" applyFill="1" applyBorder="1" applyAlignment="1" applyProtection="1">
      <alignment horizontal="left" vertical="center"/>
      <protection hidden="1"/>
    </xf>
    <xf numFmtId="0" fontId="26" fillId="14" borderId="11" xfId="0" applyFont="1" applyFill="1" applyBorder="1" applyAlignment="1" applyProtection="1">
      <alignment horizontal="left" vertical="center"/>
      <protection hidden="1"/>
    </xf>
    <xf numFmtId="0" fontId="21" fillId="14" borderId="11" xfId="0" applyFont="1" applyFill="1" applyBorder="1" applyAlignment="1" applyProtection="1">
      <alignment horizontal="left" vertical="center"/>
      <protection hidden="1"/>
    </xf>
    <xf numFmtId="0" fontId="10" fillId="14" borderId="8" xfId="0" applyFont="1" applyFill="1" applyBorder="1" applyAlignment="1" applyProtection="1">
      <alignment horizontal="left" vertical="center" wrapText="1"/>
      <protection hidden="1"/>
    </xf>
    <xf numFmtId="14" fontId="15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14" fontId="15" fillId="0" borderId="3" xfId="0" applyNumberFormat="1" applyFont="1" applyFill="1" applyBorder="1" applyAlignment="1" applyProtection="1">
      <alignment horizontal="right" vertical="center" wrapText="1"/>
      <protection hidden="1"/>
    </xf>
    <xf numFmtId="14" fontId="15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14" fontId="15" fillId="0" borderId="7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Protection="1">
      <protection hidden="1"/>
    </xf>
    <xf numFmtId="0" fontId="4" fillId="6" borderId="1" xfId="0" applyFont="1" applyFill="1" applyBorder="1" applyProtection="1">
      <protection hidden="1"/>
    </xf>
    <xf numFmtId="0" fontId="2" fillId="6" borderId="1" xfId="0" applyFont="1" applyFill="1" applyBorder="1" applyProtection="1">
      <protection hidden="1"/>
    </xf>
    <xf numFmtId="1" fontId="10" fillId="0" borderId="0" xfId="0" applyNumberFormat="1" applyFont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2" fillId="6" borderId="1" xfId="0" applyFont="1" applyFill="1" applyBorder="1" applyAlignment="1" applyProtection="1">
      <alignment vertical="center"/>
      <protection hidden="1"/>
    </xf>
    <xf numFmtId="0" fontId="19" fillId="7" borderId="1" xfId="0" applyFont="1" applyFill="1" applyBorder="1" applyProtection="1"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vertical="center"/>
      <protection locked="0" hidden="1"/>
    </xf>
    <xf numFmtId="0" fontId="19" fillId="7" borderId="1" xfId="0" applyFon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2" fillId="7" borderId="1" xfId="0" applyFont="1" applyFill="1" applyBorder="1" applyAlignment="1" applyProtection="1">
      <alignment vertical="center"/>
      <protection hidden="1"/>
    </xf>
    <xf numFmtId="2" fontId="19" fillId="7" borderId="1" xfId="0" applyNumberFormat="1" applyFont="1" applyFill="1" applyBorder="1" applyProtection="1">
      <protection hidden="1"/>
    </xf>
    <xf numFmtId="0" fontId="10" fillId="0" borderId="0" xfId="0" applyFont="1" applyFill="1" applyBorder="1" applyAlignment="1" applyProtection="1">
      <protection hidden="1"/>
    </xf>
    <xf numFmtId="0" fontId="10" fillId="0" borderId="4" xfId="0" applyFont="1" applyFill="1" applyBorder="1" applyAlignment="1" applyProtection="1">
      <protection hidden="1"/>
    </xf>
    <xf numFmtId="2" fontId="19" fillId="7" borderId="1" xfId="0" applyNumberFormat="1" applyFont="1" applyFill="1" applyBorder="1" applyAlignment="1" applyProtection="1">
      <alignment vertical="center"/>
      <protection hidden="1"/>
    </xf>
    <xf numFmtId="0" fontId="2" fillId="8" borderId="1" xfId="0" applyFont="1" applyFill="1" applyBorder="1" applyAlignment="1" applyProtection="1">
      <alignment vertical="center"/>
      <protection hidden="1"/>
    </xf>
    <xf numFmtId="2" fontId="4" fillId="8" borderId="1" xfId="0" applyNumberFormat="1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2" fontId="4" fillId="9" borderId="1" xfId="0" applyNumberFormat="1" applyFont="1" applyFill="1" applyBorder="1" applyAlignment="1" applyProtection="1">
      <alignment vertical="center"/>
      <protection hidden="1"/>
    </xf>
    <xf numFmtId="10" fontId="2" fillId="0" borderId="0" xfId="0" applyNumberFormat="1" applyFont="1" applyFill="1" applyBorder="1" applyAlignment="1" applyProtection="1">
      <alignment horizontal="right" vertical="center"/>
      <protection hidden="1"/>
    </xf>
    <xf numFmtId="1" fontId="17" fillId="0" borderId="0" xfId="0" applyNumberFormat="1" applyFont="1" applyFill="1" applyAlignment="1" applyProtection="1">
      <alignment vertical="center"/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4" fontId="10" fillId="0" borderId="2" xfId="0" applyNumberFormat="1" applyFont="1" applyFill="1" applyBorder="1" applyAlignment="1" applyProtection="1">
      <alignment vertical="center"/>
      <protection hidden="1"/>
    </xf>
    <xf numFmtId="4" fontId="10" fillId="0" borderId="10" xfId="0" applyNumberFormat="1" applyFont="1" applyFill="1" applyBorder="1" applyAlignment="1" applyProtection="1">
      <alignment vertical="center"/>
      <protection hidden="1"/>
    </xf>
    <xf numFmtId="4" fontId="2" fillId="0" borderId="0" xfId="0" applyNumberFormat="1" applyFont="1" applyFill="1" applyBorder="1" applyAlignment="1" applyProtection="1">
      <alignment horizontal="right" vertical="center"/>
      <protection locked="0" hidden="1"/>
    </xf>
    <xf numFmtId="1" fontId="10" fillId="0" borderId="0" xfId="0" applyNumberFormat="1" applyFont="1" applyFill="1" applyAlignment="1" applyProtection="1">
      <alignment vertical="center"/>
      <protection hidden="1"/>
    </xf>
    <xf numFmtId="14" fontId="10" fillId="0" borderId="0" xfId="0" applyNumberFormat="1" applyFont="1" applyAlignment="1" applyProtection="1">
      <alignment horizontal="right" vertical="center"/>
      <protection hidden="1"/>
    </xf>
    <xf numFmtId="4" fontId="10" fillId="0" borderId="0" xfId="0" applyNumberFormat="1" applyFont="1" applyAlignment="1" applyProtection="1">
      <alignment horizontal="right" vertical="center"/>
      <protection hidden="1"/>
    </xf>
    <xf numFmtId="0" fontId="10" fillId="0" borderId="15" xfId="0" quotePrefix="1" applyFont="1" applyBorder="1" applyAlignment="1" applyProtection="1">
      <alignment horizontal="justify" vertical="center" wrapText="1"/>
      <protection hidden="1"/>
    </xf>
    <xf numFmtId="0" fontId="17" fillId="0" borderId="13" xfId="0" applyFont="1" applyFill="1" applyBorder="1" applyAlignment="1" applyProtection="1">
      <alignment horizontal="left" vertical="center" wrapText="1"/>
      <protection hidden="1"/>
    </xf>
    <xf numFmtId="10" fontId="10" fillId="0" borderId="3" xfId="0" applyNumberFormat="1" applyFont="1" applyFill="1" applyBorder="1" applyAlignment="1" applyProtection="1">
      <alignment horizontal="right" vertical="center"/>
      <protection hidden="1"/>
    </xf>
    <xf numFmtId="3" fontId="10" fillId="15" borderId="3" xfId="1" applyNumberFormat="1" applyFont="1" applyFill="1" applyBorder="1" applyAlignment="1" applyProtection="1">
      <alignment horizontal="right" vertical="center"/>
      <protection hidden="1"/>
    </xf>
    <xf numFmtId="3" fontId="10" fillId="15" borderId="3" xfId="0" applyNumberFormat="1" applyFont="1" applyFill="1" applyBorder="1" applyAlignment="1" applyProtection="1">
      <alignment horizontal="right" vertical="center"/>
      <protection hidden="1"/>
    </xf>
    <xf numFmtId="3" fontId="10" fillId="13" borderId="3" xfId="1" applyNumberFormat="1" applyFont="1" applyFill="1" applyBorder="1" applyAlignment="1" applyProtection="1">
      <alignment horizontal="right" vertical="center"/>
      <protection hidden="1"/>
    </xf>
    <xf numFmtId="3" fontId="10" fillId="13" borderId="10" xfId="0" applyNumberFormat="1" applyFont="1" applyFill="1" applyBorder="1" applyAlignment="1" applyProtection="1">
      <alignment horizontal="right" vertical="center"/>
      <protection hidden="1"/>
    </xf>
    <xf numFmtId="0" fontId="17" fillId="0" borderId="14" xfId="0" applyFont="1" applyBorder="1" applyAlignment="1" applyProtection="1">
      <alignment horizontal="left" vertical="center" wrapText="1"/>
      <protection hidden="1"/>
    </xf>
    <xf numFmtId="14" fontId="14" fillId="0" borderId="0" xfId="0" applyNumberFormat="1" applyFont="1" applyAlignment="1" applyProtection="1">
      <alignment horizontal="left" vertical="center"/>
      <protection hidden="1"/>
    </xf>
    <xf numFmtId="4" fontId="14" fillId="0" borderId="0" xfId="0" applyNumberFormat="1" applyFont="1" applyFill="1" applyAlignment="1" applyProtection="1">
      <alignment horizontal="left" vertical="center"/>
      <protection hidden="1"/>
    </xf>
    <xf numFmtId="0" fontId="27" fillId="0" borderId="0" xfId="0" applyFont="1" applyAlignment="1" applyProtection="1">
      <alignment vertical="center" wrapText="1"/>
      <protection hidden="1"/>
    </xf>
    <xf numFmtId="3" fontId="10" fillId="15" borderId="2" xfId="0" applyNumberFormat="1" applyFont="1" applyFill="1" applyBorder="1" applyAlignment="1" applyProtection="1">
      <alignment horizontal="right" vertical="center"/>
      <protection locked="0" hidden="1"/>
    </xf>
    <xf numFmtId="3" fontId="10" fillId="13" borderId="2" xfId="0" applyNumberFormat="1" applyFont="1" applyFill="1" applyBorder="1" applyAlignment="1" applyProtection="1">
      <alignment horizontal="right" vertical="center"/>
      <protection locked="0" hidden="1"/>
    </xf>
    <xf numFmtId="3" fontId="10" fillId="13" borderId="10" xfId="0" applyNumberFormat="1" applyFont="1" applyFill="1" applyBorder="1" applyAlignment="1" applyProtection="1">
      <alignment horizontal="right" vertical="center"/>
      <protection locked="0" hidden="1"/>
    </xf>
    <xf numFmtId="0" fontId="10" fillId="0" borderId="0" xfId="0" applyFont="1" applyAlignment="1" applyProtection="1">
      <alignment horizontal="left" vertical="center" wrapText="1" readingOrder="1"/>
      <protection hidden="1"/>
    </xf>
    <xf numFmtId="4" fontId="10" fillId="15" borderId="2" xfId="0" applyNumberFormat="1" applyFont="1" applyFill="1" applyBorder="1" applyAlignment="1" applyProtection="1">
      <alignment horizontal="right" vertical="center"/>
      <protection locked="0" hidden="1"/>
    </xf>
    <xf numFmtId="4" fontId="10" fillId="15" borderId="10" xfId="0" applyNumberFormat="1" applyFont="1" applyFill="1" applyBorder="1" applyAlignment="1" applyProtection="1">
      <alignment horizontal="right" vertical="center"/>
      <protection locked="0" hidden="1"/>
    </xf>
    <xf numFmtId="10" fontId="11" fillId="15" borderId="11" xfId="0" applyNumberFormat="1" applyFont="1" applyFill="1" applyBorder="1" applyAlignment="1" applyProtection="1">
      <alignment horizontal="right"/>
      <protection locked="0" hidden="1"/>
    </xf>
    <xf numFmtId="10" fontId="10" fillId="15" borderId="2" xfId="0" applyNumberFormat="1" applyFont="1" applyFill="1" applyBorder="1" applyAlignment="1" applyProtection="1">
      <alignment horizontal="right" vertical="center"/>
      <protection locked="0" hidden="1"/>
    </xf>
    <xf numFmtId="10" fontId="10" fillId="15" borderId="10" xfId="0" applyNumberFormat="1" applyFont="1" applyFill="1" applyBorder="1" applyAlignment="1" applyProtection="1">
      <alignment horizontal="right" vertical="center"/>
      <protection locked="0" hidden="1"/>
    </xf>
    <xf numFmtId="14" fontId="10" fillId="15" borderId="2" xfId="0" applyNumberFormat="1" applyFont="1" applyFill="1" applyBorder="1" applyAlignment="1" applyProtection="1">
      <alignment horizontal="right" vertical="center"/>
      <protection locked="0" hidden="1"/>
    </xf>
    <xf numFmtId="14" fontId="10" fillId="15" borderId="10" xfId="0" applyNumberFormat="1" applyFont="1" applyFill="1" applyBorder="1" applyAlignment="1" applyProtection="1">
      <alignment horizontal="right" vertical="center"/>
      <protection locked="0" hidden="1"/>
    </xf>
    <xf numFmtId="0" fontId="10" fillId="15" borderId="8" xfId="0" applyFont="1" applyFill="1" applyBorder="1" applyAlignment="1" applyProtection="1">
      <alignment horizontal="right" vertical="center"/>
      <protection locked="0" hidden="1"/>
    </xf>
    <xf numFmtId="0" fontId="10" fillId="15" borderId="2" xfId="0" applyFont="1" applyFill="1" applyBorder="1" applyAlignment="1" applyProtection="1">
      <alignment horizontal="right" vertical="center"/>
      <protection locked="0" hidden="1"/>
    </xf>
    <xf numFmtId="0" fontId="10" fillId="15" borderId="10" xfId="0" applyFont="1" applyFill="1" applyBorder="1" applyAlignment="1" applyProtection="1">
      <alignment horizontal="right" vertical="center"/>
      <protection locked="0" hidden="1"/>
    </xf>
    <xf numFmtId="0" fontId="10" fillId="0" borderId="11" xfId="0" applyFont="1" applyBorder="1" applyAlignment="1" applyProtection="1">
      <alignment horizontal="left" wrapText="1"/>
      <protection hidden="1"/>
    </xf>
    <xf numFmtId="0" fontId="10" fillId="0" borderId="0" xfId="0" applyFont="1" applyFill="1" applyAlignment="1" applyProtection="1">
      <alignment horizontal="left" vertical="center" wrapText="1" readingOrder="1"/>
      <protection hidden="1"/>
    </xf>
    <xf numFmtId="0" fontId="11" fillId="5" borderId="0" xfId="0" applyFont="1" applyFill="1" applyAlignment="1" applyProtection="1">
      <alignment vertical="center"/>
      <protection hidden="1"/>
    </xf>
    <xf numFmtId="0" fontId="13" fillId="14" borderId="11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hidden="1"/>
    </xf>
    <xf numFmtId="14" fontId="15" fillId="0" borderId="2" xfId="0" applyNumberFormat="1" applyFont="1" applyFill="1" applyBorder="1" applyAlignment="1" applyProtection="1">
      <alignment horizontal="center" vertical="center" wrapText="1"/>
      <protection hidden="1"/>
    </xf>
    <xf numFmtId="14" fontId="1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3" fillId="14" borderId="12" xfId="0" applyFont="1" applyFill="1" applyBorder="1" applyAlignment="1" applyProtection="1">
      <alignment horizontal="center" vertical="center" wrapText="1"/>
      <protection hidden="1"/>
    </xf>
    <xf numFmtId="0" fontId="15" fillId="0" borderId="4" xfId="0" applyFont="1" applyFill="1" applyBorder="1" applyAlignment="1" applyProtection="1">
      <alignment horizontal="center" vertical="center"/>
      <protection hidden="1"/>
    </xf>
    <xf numFmtId="0" fontId="15" fillId="0" borderId="11" xfId="0" applyFont="1" applyFill="1" applyBorder="1" applyAlignment="1" applyProtection="1">
      <alignment horizontal="center" vertical="center"/>
      <protection hidden="1"/>
    </xf>
    <xf numFmtId="3" fontId="10" fillId="13" borderId="2" xfId="0" applyNumberFormat="1" applyFont="1" applyFill="1" applyBorder="1" applyAlignment="1" applyProtection="1">
      <alignment horizontal="right" vertical="center" readingOrder="1"/>
      <protection locked="0" hidden="1"/>
    </xf>
    <xf numFmtId="3" fontId="10" fillId="13" borderId="10" xfId="0" applyNumberFormat="1" applyFont="1" applyFill="1" applyBorder="1" applyAlignment="1" applyProtection="1">
      <alignment horizontal="right" vertical="center" readingOrder="1"/>
      <protection locked="0" hidden="1"/>
    </xf>
    <xf numFmtId="10" fontId="11" fillId="13" borderId="11" xfId="0" applyNumberFormat="1" applyFont="1" applyFill="1" applyBorder="1" applyAlignment="1" applyProtection="1">
      <alignment horizontal="right"/>
      <protection locked="0" hidden="1"/>
    </xf>
    <xf numFmtId="10" fontId="11" fillId="13" borderId="12" xfId="0" applyNumberFormat="1" applyFont="1" applyFill="1" applyBorder="1" applyAlignment="1" applyProtection="1">
      <alignment horizontal="right"/>
      <protection locked="0" hidden="1"/>
    </xf>
    <xf numFmtId="3" fontId="10" fillId="15" borderId="2" xfId="0" applyNumberFormat="1" applyFont="1" applyFill="1" applyBorder="1" applyAlignment="1" applyProtection="1">
      <alignment horizontal="right" vertical="center" readingOrder="1"/>
      <protection locked="0" hidden="1"/>
    </xf>
  </cellXfs>
  <cellStyles count="2">
    <cellStyle name="Dezimal" xfId="1" builtinId="3"/>
    <cellStyle name="Standard" xfId="0" builtinId="0"/>
  </cellStyles>
  <dxfs count="0"/>
  <tableStyles count="0" defaultTableStyle="TableStyleMedium9" defaultPivotStyle="PivotStyleLight16"/>
  <colors>
    <mruColors>
      <color rgb="FFF8ED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C7"/>
  <sheetViews>
    <sheetView workbookViewId="0">
      <selection activeCell="B16" sqref="B16"/>
    </sheetView>
  </sheetViews>
  <sheetFormatPr baseColWidth="10" defaultRowHeight="12.75"/>
  <cols>
    <col min="1" max="3" width="15.42578125" customWidth="1"/>
  </cols>
  <sheetData>
    <row r="1" spans="1:3">
      <c r="B1" s="2" t="s">
        <v>6</v>
      </c>
      <c r="C1" s="2" t="s">
        <v>7</v>
      </c>
    </row>
    <row r="2" spans="1:3">
      <c r="A2" t="s">
        <v>0</v>
      </c>
      <c r="B2" s="1">
        <v>6.6000000000000003E-2</v>
      </c>
      <c r="C2" s="1">
        <v>6.2E-2</v>
      </c>
    </row>
    <row r="3" spans="1:3">
      <c r="A3" t="s">
        <v>1</v>
      </c>
      <c r="B3" s="1">
        <v>6.8000000000000005E-2</v>
      </c>
      <c r="C3" s="1">
        <v>6.4000000000000001E-2</v>
      </c>
    </row>
    <row r="4" spans="1:3">
      <c r="A4" t="s">
        <v>2</v>
      </c>
      <c r="B4" s="1">
        <v>7.0000000000000007E-2</v>
      </c>
      <c r="C4" s="1">
        <v>6.6000000000000003E-2</v>
      </c>
    </row>
    <row r="5" spans="1:3">
      <c r="A5" t="s">
        <v>3</v>
      </c>
      <c r="B5" s="1">
        <v>7.1999999999999995E-2</v>
      </c>
      <c r="C5" s="1">
        <v>6.8000000000000005E-2</v>
      </c>
    </row>
    <row r="6" spans="1:3">
      <c r="A6" t="s">
        <v>4</v>
      </c>
      <c r="B6" s="1">
        <v>7.1999999999999995E-2</v>
      </c>
      <c r="C6" s="1">
        <v>7.0000000000000007E-2</v>
      </c>
    </row>
    <row r="7" spans="1:3">
      <c r="A7" t="s">
        <v>5</v>
      </c>
      <c r="B7" s="1">
        <v>7.1999999999999995E-2</v>
      </c>
      <c r="C7" s="1">
        <v>7.1999999999999995E-2</v>
      </c>
    </row>
  </sheetData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C7"/>
  <sheetViews>
    <sheetView workbookViewId="0">
      <selection activeCell="D11" sqref="D11"/>
    </sheetView>
  </sheetViews>
  <sheetFormatPr baseColWidth="10" defaultRowHeight="12.75"/>
  <cols>
    <col min="1" max="3" width="15.42578125" customWidth="1"/>
  </cols>
  <sheetData>
    <row r="1" spans="1:3">
      <c r="B1" s="2" t="s">
        <v>6</v>
      </c>
      <c r="C1" s="2" t="s">
        <v>7</v>
      </c>
    </row>
    <row r="2" spans="1:3">
      <c r="A2" t="s">
        <v>8</v>
      </c>
      <c r="B2" s="1">
        <v>6.6000000000000003E-2</v>
      </c>
      <c r="C2" s="1">
        <v>6.2E-2</v>
      </c>
    </row>
    <row r="3" spans="1:3">
      <c r="A3" t="s">
        <v>9</v>
      </c>
      <c r="B3" s="1">
        <v>6.8000000000000005E-2</v>
      </c>
      <c r="C3" s="1">
        <v>6.4000000000000001E-2</v>
      </c>
    </row>
    <row r="4" spans="1:3">
      <c r="A4" t="s">
        <v>10</v>
      </c>
      <c r="B4" s="1">
        <v>7.0000000000000007E-2</v>
      </c>
      <c r="C4" s="1">
        <v>6.6000000000000003E-2</v>
      </c>
    </row>
    <row r="5" spans="1:3">
      <c r="A5" t="s">
        <v>11</v>
      </c>
      <c r="B5" s="1">
        <v>7.1999999999999995E-2</v>
      </c>
      <c r="C5" s="1">
        <v>6.8000000000000005E-2</v>
      </c>
    </row>
    <row r="6" spans="1:3">
      <c r="A6" t="s">
        <v>12</v>
      </c>
      <c r="B6" s="1">
        <v>7.1999999999999995E-2</v>
      </c>
      <c r="C6" s="1">
        <v>7.0000000000000007E-2</v>
      </c>
    </row>
    <row r="7" spans="1:3">
      <c r="A7" t="s">
        <v>13</v>
      </c>
      <c r="B7" s="1">
        <v>7.1999999999999995E-2</v>
      </c>
      <c r="C7" s="1">
        <v>7.1999999999999995E-2</v>
      </c>
    </row>
  </sheetData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>
    <tabColor rgb="FFFF0000"/>
    <pageSetUpPr fitToPage="1"/>
  </sheetPr>
  <dimension ref="A1:AE83"/>
  <sheetViews>
    <sheetView showGridLines="0" showRowColHeaders="0" showZeros="0" tabSelected="1" zoomScale="125" zoomScaleNormal="125" workbookViewId="0">
      <selection activeCell="E6" sqref="E6:I6"/>
    </sheetView>
  </sheetViews>
  <sheetFormatPr baseColWidth="10" defaultColWidth="11.42578125" defaultRowHeight="12"/>
  <cols>
    <col min="1" max="1" width="23.42578125" style="3" customWidth="1"/>
    <col min="2" max="2" width="4.7109375" style="105" hidden="1" customWidth="1"/>
    <col min="3" max="3" width="6" style="3" customWidth="1"/>
    <col min="4" max="4" width="9.5703125" style="3" customWidth="1"/>
    <col min="5" max="5" width="9.42578125" style="3" customWidth="1"/>
    <col min="6" max="7" width="9.85546875" style="3" customWidth="1"/>
    <col min="8" max="8" width="9.5703125" style="3" customWidth="1"/>
    <col min="9" max="9" width="10" style="3" customWidth="1"/>
    <col min="10" max="10" width="15" style="28" customWidth="1"/>
    <col min="11" max="11" width="6.5703125" style="3" hidden="1" customWidth="1"/>
    <col min="12" max="12" width="7" style="3" hidden="1" customWidth="1"/>
    <col min="13" max="13" width="9.42578125" style="3" hidden="1" customWidth="1"/>
    <col min="14" max="14" width="9.5703125" style="3" hidden="1" customWidth="1"/>
    <col min="15" max="15" width="8.42578125" style="3" hidden="1" customWidth="1"/>
    <col min="16" max="16" width="11.42578125" style="3" hidden="1" customWidth="1"/>
    <col min="17" max="17" width="5" style="3" hidden="1" customWidth="1"/>
    <col min="18" max="18" width="4.42578125" style="121" hidden="1" customWidth="1"/>
    <col min="19" max="24" width="4" style="121" hidden="1" customWidth="1"/>
    <col min="25" max="31" width="4.42578125" style="121" hidden="1" customWidth="1"/>
    <col min="32" max="32" width="11.42578125" style="3" customWidth="1"/>
    <col min="33" max="16384" width="11.42578125" style="3"/>
  </cols>
  <sheetData>
    <row r="1" spans="1:31" ht="27" customHeight="1">
      <c r="A1" s="163" t="s">
        <v>34</v>
      </c>
      <c r="B1" s="163"/>
      <c r="C1" s="163"/>
      <c r="D1" s="163"/>
      <c r="E1" s="163"/>
      <c r="F1" s="163"/>
      <c r="G1" s="163"/>
      <c r="H1" s="163"/>
      <c r="I1" s="163"/>
      <c r="R1" s="16" t="s">
        <v>50</v>
      </c>
    </row>
    <row r="2" spans="1:31" ht="58.15" customHeight="1">
      <c r="A2" s="167" t="s">
        <v>62</v>
      </c>
      <c r="B2" s="167"/>
      <c r="C2" s="167"/>
      <c r="D2" s="167"/>
      <c r="E2" s="167"/>
      <c r="F2" s="167"/>
      <c r="G2" s="167"/>
      <c r="H2" s="167"/>
      <c r="I2" s="167"/>
      <c r="R2" s="122" t="s">
        <v>25</v>
      </c>
      <c r="S2" s="123">
        <v>58</v>
      </c>
      <c r="T2" s="123">
        <v>59</v>
      </c>
      <c r="U2" s="123">
        <v>60</v>
      </c>
      <c r="V2" s="123">
        <v>61</v>
      </c>
      <c r="W2" s="123">
        <v>62</v>
      </c>
      <c r="X2" s="123">
        <v>63</v>
      </c>
      <c r="Y2" s="123">
        <v>64</v>
      </c>
      <c r="Z2" s="122">
        <v>65</v>
      </c>
      <c r="AA2" s="123">
        <v>66</v>
      </c>
      <c r="AB2" s="123">
        <v>67</v>
      </c>
      <c r="AC2" s="123">
        <v>68</v>
      </c>
      <c r="AD2" s="123">
        <v>69</v>
      </c>
      <c r="AE2" s="123">
        <v>70</v>
      </c>
    </row>
    <row r="3" spans="1:31" ht="6" customHeight="1">
      <c r="A3" s="4"/>
      <c r="B3" s="98"/>
      <c r="J3" s="124"/>
      <c r="R3" s="122"/>
      <c r="S3" s="123"/>
      <c r="T3" s="123"/>
      <c r="U3" s="123"/>
      <c r="V3" s="123"/>
      <c r="W3" s="123"/>
      <c r="X3" s="123"/>
      <c r="Y3" s="123"/>
      <c r="Z3" s="122"/>
      <c r="AA3" s="123"/>
      <c r="AB3" s="123"/>
      <c r="AC3" s="123"/>
      <c r="AD3" s="123"/>
      <c r="AE3" s="123"/>
    </row>
    <row r="4" spans="1:31" ht="18" customHeight="1">
      <c r="A4" s="110" t="s">
        <v>20</v>
      </c>
      <c r="B4" s="99"/>
      <c r="C4" s="33"/>
      <c r="D4" s="125"/>
      <c r="E4" s="125"/>
      <c r="F4" s="126"/>
      <c r="G4" s="126"/>
      <c r="H4" s="126"/>
      <c r="I4" s="126" t="str">
        <f>IF(D6="","","")</f>
        <v/>
      </c>
      <c r="J4" s="127"/>
      <c r="K4" s="19"/>
      <c r="L4" s="19"/>
      <c r="R4" s="128">
        <v>1939</v>
      </c>
      <c r="S4" s="128">
        <v>0</v>
      </c>
      <c r="T4" s="128">
        <v>0</v>
      </c>
      <c r="U4" s="128">
        <v>0</v>
      </c>
      <c r="V4" s="128">
        <v>0</v>
      </c>
      <c r="W4" s="128">
        <v>0</v>
      </c>
      <c r="X4" s="128">
        <v>0</v>
      </c>
      <c r="Y4" s="128">
        <v>0</v>
      </c>
      <c r="Z4" s="128">
        <v>0</v>
      </c>
      <c r="AA4" s="128">
        <v>0</v>
      </c>
      <c r="AB4" s="128">
        <v>0</v>
      </c>
      <c r="AC4" s="128">
        <v>0</v>
      </c>
      <c r="AD4" s="128">
        <v>0</v>
      </c>
      <c r="AE4" s="129">
        <v>7.38</v>
      </c>
    </row>
    <row r="5" spans="1:31" ht="3.75" customHeight="1">
      <c r="A5" s="38"/>
      <c r="B5" s="100"/>
      <c r="C5" s="5"/>
      <c r="D5" s="130"/>
      <c r="E5" s="130"/>
      <c r="F5" s="131"/>
      <c r="G5" s="131"/>
      <c r="H5" s="131"/>
      <c r="I5" s="131"/>
      <c r="J5" s="127"/>
      <c r="K5" s="19"/>
      <c r="L5" s="19"/>
      <c r="R5" s="128">
        <f>R4+1</f>
        <v>1940</v>
      </c>
      <c r="S5" s="128">
        <v>0</v>
      </c>
      <c r="T5" s="128">
        <v>0</v>
      </c>
      <c r="U5" s="128">
        <v>0</v>
      </c>
      <c r="V5" s="128">
        <v>0</v>
      </c>
      <c r="W5" s="128">
        <v>0</v>
      </c>
      <c r="X5" s="128">
        <v>0</v>
      </c>
      <c r="Y5" s="128">
        <v>0</v>
      </c>
      <c r="Z5" s="128">
        <v>0</v>
      </c>
      <c r="AA5" s="128">
        <v>0</v>
      </c>
      <c r="AB5" s="128">
        <v>0</v>
      </c>
      <c r="AC5" s="128">
        <v>0</v>
      </c>
      <c r="AD5" s="129">
        <v>7.15</v>
      </c>
      <c r="AE5" s="129">
        <v>7.38</v>
      </c>
    </row>
    <row r="6" spans="1:31" ht="15.75" customHeight="1">
      <c r="A6" s="28" t="s">
        <v>21</v>
      </c>
      <c r="B6" s="94"/>
      <c r="D6" s="132"/>
      <c r="E6" s="175" t="s">
        <v>61</v>
      </c>
      <c r="F6" s="176"/>
      <c r="G6" s="176"/>
      <c r="H6" s="176"/>
      <c r="I6" s="177"/>
      <c r="J6" s="124"/>
      <c r="K6" s="19"/>
      <c r="L6" s="19"/>
      <c r="M6" s="21"/>
      <c r="R6" s="128">
        <f t="shared" ref="R6:R61" si="0">R5+1</f>
        <v>1941</v>
      </c>
      <c r="S6" s="128">
        <v>0</v>
      </c>
      <c r="T6" s="128">
        <v>0</v>
      </c>
      <c r="U6" s="128">
        <v>0</v>
      </c>
      <c r="V6" s="128">
        <v>0</v>
      </c>
      <c r="W6" s="128">
        <v>0</v>
      </c>
      <c r="X6" s="128">
        <v>0</v>
      </c>
      <c r="Y6" s="128">
        <v>0</v>
      </c>
      <c r="Z6" s="128">
        <v>0</v>
      </c>
      <c r="AA6" s="128">
        <v>0</v>
      </c>
      <c r="AB6" s="128">
        <v>0</v>
      </c>
      <c r="AC6" s="129">
        <v>7.05</v>
      </c>
      <c r="AD6" s="129">
        <v>7.15</v>
      </c>
      <c r="AE6" s="129">
        <v>7.38</v>
      </c>
    </row>
    <row r="7" spans="1:31" ht="15.75" customHeight="1">
      <c r="A7" s="28" t="s">
        <v>15</v>
      </c>
      <c r="B7" s="94"/>
      <c r="D7" s="70"/>
      <c r="E7" s="82" t="s">
        <v>35</v>
      </c>
      <c r="F7" s="173">
        <v>22525</v>
      </c>
      <c r="G7" s="173"/>
      <c r="H7" s="173"/>
      <c r="I7" s="174"/>
      <c r="J7" s="40" t="str">
        <f>IF(OR(F7="",F22=""),"",IF(L8&gt;62,"Bezug unmöglich",""))</f>
        <v/>
      </c>
      <c r="K7" s="58" t="s">
        <v>43</v>
      </c>
      <c r="L7" s="58"/>
      <c r="M7" s="60">
        <f>65-N7</f>
        <v>55.75</v>
      </c>
      <c r="N7" s="61">
        <f>IF(F7="",0,(65*12-O7)/12)</f>
        <v>9.25</v>
      </c>
      <c r="O7" s="58">
        <f>(YEAR(F22)-YEAR(F7))*12-MONTH(F7)+MONTH(F22)</f>
        <v>669</v>
      </c>
      <c r="P7" s="59">
        <f>IF(F7="","",DATE(YEAR(F7)+65,MONTH($F$7),VLOOKUP(MONTH($F$7),$O$37:$P$48,2)))</f>
        <v>46295</v>
      </c>
      <c r="R7" s="128">
        <f t="shared" si="0"/>
        <v>1942</v>
      </c>
      <c r="S7" s="128">
        <v>0</v>
      </c>
      <c r="T7" s="128">
        <v>0</v>
      </c>
      <c r="U7" s="128">
        <v>0</v>
      </c>
      <c r="V7" s="128">
        <v>0</v>
      </c>
      <c r="W7" s="128">
        <v>0</v>
      </c>
      <c r="X7" s="128">
        <v>0</v>
      </c>
      <c r="Y7" s="128">
        <v>0</v>
      </c>
      <c r="Z7" s="128">
        <v>0</v>
      </c>
      <c r="AA7" s="128">
        <v>0</v>
      </c>
      <c r="AB7" s="129">
        <v>7.05</v>
      </c>
      <c r="AC7" s="129">
        <v>7.05</v>
      </c>
      <c r="AD7" s="129">
        <v>7.15</v>
      </c>
      <c r="AE7" s="129">
        <v>7.38</v>
      </c>
    </row>
    <row r="8" spans="1:31" ht="8.25" customHeight="1">
      <c r="A8" s="28"/>
      <c r="B8" s="94"/>
      <c r="D8" s="70"/>
      <c r="E8" s="31"/>
      <c r="F8" s="62"/>
      <c r="G8" s="39"/>
      <c r="I8" s="39"/>
      <c r="J8" s="40"/>
      <c r="K8" s="58" t="s">
        <v>23</v>
      </c>
      <c r="L8" s="58">
        <f>YEAR(F22)-YEAR(F7)</f>
        <v>56</v>
      </c>
      <c r="R8" s="128">
        <f t="shared" si="0"/>
        <v>1943</v>
      </c>
      <c r="S8" s="128">
        <v>0</v>
      </c>
      <c r="T8" s="128">
        <v>0</v>
      </c>
      <c r="U8" s="128">
        <v>0</v>
      </c>
      <c r="V8" s="128">
        <v>0</v>
      </c>
      <c r="W8" s="128">
        <v>0</v>
      </c>
      <c r="X8" s="128">
        <v>0</v>
      </c>
      <c r="Y8" s="128">
        <v>0</v>
      </c>
      <c r="Z8" s="128">
        <v>0</v>
      </c>
      <c r="AA8" s="129">
        <v>7.05</v>
      </c>
      <c r="AB8" s="129">
        <v>7.05</v>
      </c>
      <c r="AC8" s="129">
        <v>7.05</v>
      </c>
      <c r="AD8" s="129">
        <v>7.15</v>
      </c>
      <c r="AE8" s="129">
        <v>7.38</v>
      </c>
    </row>
    <row r="9" spans="1:31" ht="15.75" customHeight="1">
      <c r="A9" s="29" t="s">
        <v>44</v>
      </c>
      <c r="B9" s="101"/>
      <c r="D9" s="70"/>
      <c r="E9" s="82" t="s">
        <v>35</v>
      </c>
      <c r="F9" s="173">
        <v>42736</v>
      </c>
      <c r="G9" s="173"/>
      <c r="H9" s="173"/>
      <c r="I9" s="174"/>
      <c r="J9" s="40" t="str">
        <f>IF(F9="","",IF(YEAR(F22)&gt;YEAR(F9),"nicht aktuell",""))</f>
        <v/>
      </c>
      <c r="K9" s="19"/>
      <c r="L9" s="19"/>
      <c r="R9" s="128">
        <f t="shared" si="0"/>
        <v>1944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9">
        <v>7.05</v>
      </c>
      <c r="AA9" s="129">
        <v>7.05</v>
      </c>
      <c r="AB9" s="129">
        <v>7.05</v>
      </c>
      <c r="AC9" s="129">
        <v>7.05</v>
      </c>
      <c r="AD9" s="129">
        <v>7.15</v>
      </c>
      <c r="AE9" s="129">
        <v>7.38</v>
      </c>
    </row>
    <row r="10" spans="1:31" ht="15.75" customHeight="1">
      <c r="A10" s="86" t="s">
        <v>58</v>
      </c>
      <c r="B10" s="94"/>
      <c r="D10" s="70"/>
      <c r="E10" s="82" t="s">
        <v>14</v>
      </c>
      <c r="F10" s="168">
        <v>650000</v>
      </c>
      <c r="G10" s="168"/>
      <c r="H10" s="168"/>
      <c r="I10" s="169"/>
      <c r="J10" s="124"/>
      <c r="K10" s="19"/>
      <c r="L10" s="19"/>
      <c r="R10" s="133">
        <f t="shared" si="0"/>
        <v>1945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29">
        <v>7.05</v>
      </c>
      <c r="Z10" s="129">
        <v>7.05</v>
      </c>
      <c r="AA10" s="129">
        <v>7.05</v>
      </c>
      <c r="AB10" s="129">
        <v>7.05</v>
      </c>
      <c r="AC10" s="129">
        <v>7.05</v>
      </c>
      <c r="AD10" s="129">
        <v>7.15</v>
      </c>
      <c r="AE10" s="129">
        <v>7.38</v>
      </c>
    </row>
    <row r="11" spans="1:31" ht="15.6" customHeight="1">
      <c r="A11" s="28" t="s">
        <v>63</v>
      </c>
      <c r="B11" s="94"/>
      <c r="C11" s="134"/>
      <c r="D11" s="70"/>
      <c r="E11" s="82" t="s">
        <v>19</v>
      </c>
      <c r="F11" s="171">
        <v>0.01</v>
      </c>
      <c r="G11" s="171"/>
      <c r="H11" s="171"/>
      <c r="I11" s="172"/>
      <c r="J11" s="124"/>
      <c r="K11" s="68">
        <f t="shared" ref="K11:K19" si="1">F12</f>
        <v>0.02</v>
      </c>
      <c r="L11" s="68">
        <f t="shared" ref="L11:L19" si="2">H12</f>
        <v>0.01</v>
      </c>
      <c r="R11" s="135">
        <f t="shared" si="0"/>
        <v>1946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6">
        <v>7</v>
      </c>
      <c r="Y11" s="136">
        <v>7</v>
      </c>
      <c r="Z11" s="136">
        <v>7</v>
      </c>
      <c r="AA11" s="136">
        <v>7</v>
      </c>
      <c r="AB11" s="136">
        <v>7</v>
      </c>
      <c r="AC11" s="136">
        <v>7</v>
      </c>
      <c r="AD11" s="129">
        <v>7.15</v>
      </c>
      <c r="AE11" s="129">
        <v>7.38</v>
      </c>
    </row>
    <row r="12" spans="1:31" ht="15.75" customHeight="1">
      <c r="A12" s="79" t="s">
        <v>55</v>
      </c>
      <c r="B12" s="102"/>
      <c r="C12" s="80"/>
      <c r="D12" s="137"/>
      <c r="E12" s="138"/>
      <c r="F12" s="170">
        <v>0.02</v>
      </c>
      <c r="G12" s="170"/>
      <c r="H12" s="190">
        <v>0.01</v>
      </c>
      <c r="I12" s="191"/>
      <c r="J12" s="124"/>
      <c r="K12" s="69">
        <f t="shared" si="1"/>
        <v>40000</v>
      </c>
      <c r="L12" s="69">
        <f t="shared" si="2"/>
        <v>39500</v>
      </c>
      <c r="M12" s="41" t="s">
        <v>47</v>
      </c>
      <c r="N12" s="26"/>
      <c r="O12" s="26"/>
      <c r="P12" s="26"/>
      <c r="Q12" s="26"/>
      <c r="R12" s="135">
        <f t="shared" si="0"/>
        <v>1947</v>
      </c>
      <c r="S12" s="135">
        <v>0</v>
      </c>
      <c r="T12" s="135">
        <v>0</v>
      </c>
      <c r="U12" s="135">
        <v>0</v>
      </c>
      <c r="V12" s="135">
        <v>0</v>
      </c>
      <c r="W12" s="136">
        <v>6.95</v>
      </c>
      <c r="X12" s="136">
        <v>6.95</v>
      </c>
      <c r="Y12" s="136">
        <v>6.95</v>
      </c>
      <c r="Z12" s="136">
        <v>6.95</v>
      </c>
      <c r="AA12" s="136">
        <v>6.95</v>
      </c>
      <c r="AB12" s="136">
        <v>6.95</v>
      </c>
      <c r="AC12" s="136">
        <v>6.95</v>
      </c>
      <c r="AD12" s="129">
        <v>7.15</v>
      </c>
      <c r="AE12" s="129">
        <v>7.38</v>
      </c>
    </row>
    <row r="13" spans="1:31" ht="15.75" customHeight="1">
      <c r="A13" s="30" t="s">
        <v>49</v>
      </c>
      <c r="B13" s="103"/>
      <c r="D13" s="70"/>
      <c r="E13" s="82" t="s">
        <v>14</v>
      </c>
      <c r="F13" s="164">
        <v>40000</v>
      </c>
      <c r="G13" s="164"/>
      <c r="H13" s="165">
        <v>39500</v>
      </c>
      <c r="I13" s="166"/>
      <c r="J13" s="40"/>
      <c r="K13" s="69">
        <f t="shared" si="1"/>
        <v>43000</v>
      </c>
      <c r="L13" s="69">
        <f t="shared" si="2"/>
        <v>41500</v>
      </c>
      <c r="M13" s="26"/>
      <c r="N13" s="26"/>
      <c r="O13" s="26"/>
      <c r="P13" s="26"/>
      <c r="Q13" s="26"/>
      <c r="R13" s="135">
        <f t="shared" si="0"/>
        <v>1948</v>
      </c>
      <c r="S13" s="135">
        <v>0</v>
      </c>
      <c r="T13" s="135">
        <v>0</v>
      </c>
      <c r="U13" s="135">
        <v>0</v>
      </c>
      <c r="V13" s="139">
        <v>6.9</v>
      </c>
      <c r="W13" s="139">
        <v>6.9</v>
      </c>
      <c r="X13" s="139">
        <v>6.9</v>
      </c>
      <c r="Y13" s="139">
        <v>6.9</v>
      </c>
      <c r="Z13" s="139">
        <v>6.9</v>
      </c>
      <c r="AA13" s="139">
        <v>6.9</v>
      </c>
      <c r="AB13" s="139">
        <v>6.9</v>
      </c>
      <c r="AC13" s="139">
        <v>6.94</v>
      </c>
      <c r="AD13" s="129">
        <v>7.15</v>
      </c>
      <c r="AE13" s="129">
        <v>7.38</v>
      </c>
    </row>
    <row r="14" spans="1:31" ht="15.75" customHeight="1">
      <c r="A14" s="30" t="s">
        <v>48</v>
      </c>
      <c r="B14" s="103"/>
      <c r="D14" s="70"/>
      <c r="E14" s="82" t="s">
        <v>14</v>
      </c>
      <c r="F14" s="164">
        <v>43000</v>
      </c>
      <c r="G14" s="164"/>
      <c r="H14" s="165">
        <v>41500</v>
      </c>
      <c r="I14" s="166"/>
      <c r="J14" s="40"/>
      <c r="K14" s="69">
        <f t="shared" si="1"/>
        <v>45000</v>
      </c>
      <c r="L14" s="69">
        <f t="shared" si="2"/>
        <v>42000</v>
      </c>
      <c r="M14" s="26"/>
      <c r="N14" s="26"/>
      <c r="O14" s="26"/>
      <c r="P14" s="26"/>
      <c r="Q14" s="26"/>
      <c r="R14" s="140">
        <f t="shared" si="0"/>
        <v>1949</v>
      </c>
      <c r="S14" s="141">
        <v>5.46</v>
      </c>
      <c r="T14" s="141">
        <v>5.57</v>
      </c>
      <c r="U14" s="141">
        <v>5.68</v>
      </c>
      <c r="V14" s="141">
        <v>5.81</v>
      </c>
      <c r="W14" s="141">
        <v>5.94</v>
      </c>
      <c r="X14" s="141">
        <v>6.07</v>
      </c>
      <c r="Y14" s="141">
        <v>6.22</v>
      </c>
      <c r="Z14" s="141">
        <v>6.4</v>
      </c>
      <c r="AA14" s="141">
        <v>6.55</v>
      </c>
      <c r="AB14" s="141">
        <v>6.74</v>
      </c>
      <c r="AC14" s="141">
        <v>6.94</v>
      </c>
      <c r="AD14" s="141">
        <v>7.15</v>
      </c>
      <c r="AE14" s="141">
        <v>7.38</v>
      </c>
    </row>
    <row r="15" spans="1:31" ht="15.75" customHeight="1">
      <c r="A15" s="30" t="s">
        <v>39</v>
      </c>
      <c r="B15" s="103"/>
      <c r="D15" s="70"/>
      <c r="E15" s="82" t="s">
        <v>14</v>
      </c>
      <c r="F15" s="164">
        <v>45000</v>
      </c>
      <c r="G15" s="164"/>
      <c r="H15" s="165">
        <v>42000</v>
      </c>
      <c r="I15" s="166"/>
      <c r="J15" s="40"/>
      <c r="K15" s="69">
        <f t="shared" si="1"/>
        <v>47000</v>
      </c>
      <c r="L15" s="69">
        <f t="shared" si="2"/>
        <v>44000</v>
      </c>
      <c r="M15" s="26"/>
      <c r="N15" s="26"/>
      <c r="O15" s="26"/>
      <c r="P15" s="26"/>
      <c r="Q15" s="26"/>
      <c r="R15" s="142">
        <f t="shared" si="0"/>
        <v>1950</v>
      </c>
      <c r="S15" s="143">
        <v>4.59</v>
      </c>
      <c r="T15" s="143">
        <v>4.6900000000000004</v>
      </c>
      <c r="U15" s="143">
        <v>4.8</v>
      </c>
      <c r="V15" s="143">
        <v>4.91</v>
      </c>
      <c r="W15" s="143">
        <v>5.04</v>
      </c>
      <c r="X15" s="143">
        <v>5.17</v>
      </c>
      <c r="Y15" s="143">
        <v>5.31</v>
      </c>
      <c r="Z15" s="143">
        <v>5.45</v>
      </c>
      <c r="AA15" s="143">
        <v>5.62</v>
      </c>
      <c r="AB15" s="143">
        <v>5.79</v>
      </c>
      <c r="AC15" s="143">
        <v>5.98</v>
      </c>
      <c r="AD15" s="143">
        <v>6.18</v>
      </c>
      <c r="AE15" s="143">
        <v>6.4</v>
      </c>
    </row>
    <row r="16" spans="1:31" ht="15.75" customHeight="1">
      <c r="A16" s="30" t="s">
        <v>38</v>
      </c>
      <c r="B16" s="103"/>
      <c r="D16" s="70"/>
      <c r="E16" s="82" t="s">
        <v>14</v>
      </c>
      <c r="F16" s="164">
        <v>47000</v>
      </c>
      <c r="G16" s="164"/>
      <c r="H16" s="165">
        <v>44000</v>
      </c>
      <c r="I16" s="166"/>
      <c r="J16" s="40"/>
      <c r="K16" s="69">
        <f t="shared" si="1"/>
        <v>49000</v>
      </c>
      <c r="L16" s="69">
        <f t="shared" si="2"/>
        <v>45500</v>
      </c>
      <c r="M16" s="26"/>
      <c r="N16" s="26"/>
      <c r="O16" s="26"/>
      <c r="P16" s="26"/>
      <c r="Q16" s="26"/>
      <c r="R16" s="142">
        <f t="shared" si="0"/>
        <v>1951</v>
      </c>
      <c r="S16" s="143">
        <v>4.59</v>
      </c>
      <c r="T16" s="143">
        <v>4.6900000000000004</v>
      </c>
      <c r="U16" s="143">
        <v>4.8</v>
      </c>
      <c r="V16" s="143">
        <v>4.91</v>
      </c>
      <c r="W16" s="143">
        <v>5.04</v>
      </c>
      <c r="X16" s="143">
        <v>5.17</v>
      </c>
      <c r="Y16" s="143">
        <v>5.31</v>
      </c>
      <c r="Z16" s="143">
        <v>5.45</v>
      </c>
      <c r="AA16" s="143">
        <v>5.62</v>
      </c>
      <c r="AB16" s="143">
        <v>5.79</v>
      </c>
      <c r="AC16" s="143">
        <v>5.98</v>
      </c>
      <c r="AD16" s="143">
        <v>6.18</v>
      </c>
      <c r="AE16" s="143">
        <v>6.4</v>
      </c>
    </row>
    <row r="17" spans="1:31" ht="15.75" customHeight="1">
      <c r="A17" s="30" t="s">
        <v>37</v>
      </c>
      <c r="B17" s="103"/>
      <c r="D17" s="70"/>
      <c r="E17" s="82" t="s">
        <v>14</v>
      </c>
      <c r="F17" s="164">
        <v>49000</v>
      </c>
      <c r="G17" s="164"/>
      <c r="H17" s="165">
        <v>45500</v>
      </c>
      <c r="I17" s="166"/>
      <c r="J17" s="40"/>
      <c r="K17" s="69">
        <f t="shared" si="1"/>
        <v>51000</v>
      </c>
      <c r="L17" s="69">
        <f t="shared" si="2"/>
        <v>48000</v>
      </c>
      <c r="M17" s="26"/>
      <c r="N17" s="26"/>
      <c r="O17" s="26"/>
      <c r="P17" s="26"/>
      <c r="Q17" s="26"/>
      <c r="R17" s="142">
        <f t="shared" si="0"/>
        <v>1952</v>
      </c>
      <c r="S17" s="143">
        <v>4.59</v>
      </c>
      <c r="T17" s="143">
        <v>4.6900000000000004</v>
      </c>
      <c r="U17" s="143">
        <v>4.8</v>
      </c>
      <c r="V17" s="143">
        <v>4.91</v>
      </c>
      <c r="W17" s="143">
        <v>5.04</v>
      </c>
      <c r="X17" s="143">
        <v>5.17</v>
      </c>
      <c r="Y17" s="143">
        <v>5.31</v>
      </c>
      <c r="Z17" s="143">
        <v>5.45</v>
      </c>
      <c r="AA17" s="143">
        <v>5.62</v>
      </c>
      <c r="AB17" s="143">
        <v>5.79</v>
      </c>
      <c r="AC17" s="143">
        <v>5.98</v>
      </c>
      <c r="AD17" s="143">
        <v>6.18</v>
      </c>
      <c r="AE17" s="143">
        <v>6.4</v>
      </c>
    </row>
    <row r="18" spans="1:31" ht="15.75" customHeight="1">
      <c r="A18" s="30" t="s">
        <v>36</v>
      </c>
      <c r="B18" s="103"/>
      <c r="D18" s="70"/>
      <c r="E18" s="82" t="s">
        <v>14</v>
      </c>
      <c r="F18" s="164">
        <v>51000</v>
      </c>
      <c r="G18" s="164"/>
      <c r="H18" s="165">
        <v>48000</v>
      </c>
      <c r="I18" s="166"/>
      <c r="J18" s="40"/>
      <c r="K18" s="69">
        <f t="shared" si="1"/>
        <v>53000</v>
      </c>
      <c r="L18" s="69">
        <f t="shared" si="2"/>
        <v>50000</v>
      </c>
      <c r="M18" s="26"/>
      <c r="N18" s="26"/>
      <c r="O18" s="26"/>
      <c r="P18" s="26"/>
      <c r="Q18" s="26"/>
      <c r="R18" s="128">
        <f t="shared" si="0"/>
        <v>1953</v>
      </c>
      <c r="S18" s="143">
        <v>4.59</v>
      </c>
      <c r="T18" s="143">
        <v>4.6900000000000004</v>
      </c>
      <c r="U18" s="143">
        <v>4.8</v>
      </c>
      <c r="V18" s="143">
        <v>4.91</v>
      </c>
      <c r="W18" s="143">
        <v>5.04</v>
      </c>
      <c r="X18" s="143">
        <v>5.17</v>
      </c>
      <c r="Y18" s="143">
        <v>5.31</v>
      </c>
      <c r="Z18" s="143">
        <v>5.45</v>
      </c>
      <c r="AA18" s="143">
        <v>5.62</v>
      </c>
      <c r="AB18" s="143">
        <v>5.79</v>
      </c>
      <c r="AC18" s="143">
        <v>5.98</v>
      </c>
      <c r="AD18" s="143">
        <v>6.18</v>
      </c>
      <c r="AE18" s="143">
        <v>6.4</v>
      </c>
    </row>
    <row r="19" spans="1:31" ht="15.75" customHeight="1">
      <c r="A19" s="30" t="s">
        <v>46</v>
      </c>
      <c r="B19" s="103"/>
      <c r="D19" s="70"/>
      <c r="E19" s="82" t="s">
        <v>14</v>
      </c>
      <c r="F19" s="164">
        <v>53000</v>
      </c>
      <c r="G19" s="164"/>
      <c r="H19" s="165">
        <v>50000</v>
      </c>
      <c r="I19" s="166"/>
      <c r="J19" s="40"/>
      <c r="K19" s="69">
        <f t="shared" si="1"/>
        <v>55000</v>
      </c>
      <c r="L19" s="69">
        <f t="shared" si="2"/>
        <v>53000</v>
      </c>
      <c r="R19" s="128">
        <f t="shared" si="0"/>
        <v>1954</v>
      </c>
      <c r="S19" s="143">
        <v>4.59</v>
      </c>
      <c r="T19" s="143">
        <v>4.6900000000000004</v>
      </c>
      <c r="U19" s="143">
        <v>4.8</v>
      </c>
      <c r="V19" s="143">
        <v>4.91</v>
      </c>
      <c r="W19" s="143">
        <v>5.04</v>
      </c>
      <c r="X19" s="143">
        <v>5.17</v>
      </c>
      <c r="Y19" s="143">
        <v>5.31</v>
      </c>
      <c r="Z19" s="143">
        <v>5.45</v>
      </c>
      <c r="AA19" s="143">
        <v>5.62</v>
      </c>
      <c r="AB19" s="143">
        <v>5.79</v>
      </c>
      <c r="AC19" s="143">
        <v>5.98</v>
      </c>
      <c r="AD19" s="143">
        <v>6.18</v>
      </c>
      <c r="AE19" s="143">
        <v>6.4</v>
      </c>
    </row>
    <row r="20" spans="1:31" ht="15.75" customHeight="1">
      <c r="A20" s="30" t="s">
        <v>45</v>
      </c>
      <c r="B20" s="103"/>
      <c r="D20" s="70"/>
      <c r="E20" s="82" t="s">
        <v>14</v>
      </c>
      <c r="F20" s="192">
        <v>55000</v>
      </c>
      <c r="G20" s="192"/>
      <c r="H20" s="188">
        <v>53000</v>
      </c>
      <c r="I20" s="189"/>
      <c r="J20" s="40"/>
      <c r="K20" s="19"/>
      <c r="L20" s="24"/>
      <c r="M20" s="25"/>
      <c r="N20" s="85">
        <f>MONTH(F7)*30-M21</f>
        <v>90</v>
      </c>
      <c r="R20" s="128">
        <f t="shared" si="0"/>
        <v>1955</v>
      </c>
      <c r="S20" s="143">
        <v>4.59</v>
      </c>
      <c r="T20" s="143">
        <v>4.6900000000000004</v>
      </c>
      <c r="U20" s="143">
        <v>4.8</v>
      </c>
      <c r="V20" s="143">
        <v>4.91</v>
      </c>
      <c r="W20" s="143">
        <v>5.04</v>
      </c>
      <c r="X20" s="143">
        <v>5.17</v>
      </c>
      <c r="Y20" s="143">
        <v>5.31</v>
      </c>
      <c r="Z20" s="143">
        <v>5.45</v>
      </c>
      <c r="AA20" s="143">
        <v>5.62</v>
      </c>
      <c r="AB20" s="143">
        <v>5.79</v>
      </c>
      <c r="AC20" s="143">
        <v>5.98</v>
      </c>
      <c r="AD20" s="143">
        <v>6.18</v>
      </c>
      <c r="AE20" s="143">
        <v>6.4</v>
      </c>
    </row>
    <row r="21" spans="1:31" ht="15.75" customHeight="1">
      <c r="A21" s="11"/>
      <c r="B21" s="104"/>
      <c r="C21" s="7"/>
      <c r="D21" s="15"/>
      <c r="E21" s="15"/>
      <c r="F21" s="144"/>
      <c r="G21" s="144"/>
      <c r="I21" s="144"/>
      <c r="J21" s="124"/>
      <c r="K21" s="53"/>
      <c r="L21" s="54" t="s">
        <v>18</v>
      </c>
      <c r="M21" s="55">
        <f>DAYS360(P21,F22+1)</f>
        <v>180</v>
      </c>
      <c r="N21" s="56">
        <f>360-M21</f>
        <v>180</v>
      </c>
      <c r="O21" s="56"/>
      <c r="P21" s="57">
        <f>DATE(YEAR(F22),1,1)</f>
        <v>42736</v>
      </c>
      <c r="R21" s="128">
        <f t="shared" si="0"/>
        <v>1956</v>
      </c>
      <c r="S21" s="143">
        <v>4.59</v>
      </c>
      <c r="T21" s="143">
        <v>4.6900000000000004</v>
      </c>
      <c r="U21" s="143">
        <v>4.8</v>
      </c>
      <c r="V21" s="143">
        <v>4.91</v>
      </c>
      <c r="W21" s="143">
        <v>5.04</v>
      </c>
      <c r="X21" s="143">
        <v>5.17</v>
      </c>
      <c r="Y21" s="143">
        <v>5.31</v>
      </c>
      <c r="Z21" s="143">
        <v>5.45</v>
      </c>
      <c r="AA21" s="143">
        <v>5.62</v>
      </c>
      <c r="AB21" s="143">
        <v>5.79</v>
      </c>
      <c r="AC21" s="143">
        <v>5.98</v>
      </c>
      <c r="AD21" s="143">
        <v>6.18</v>
      </c>
      <c r="AE21" s="143">
        <v>6.4</v>
      </c>
    </row>
    <row r="22" spans="1:31" ht="15.75" customHeight="1">
      <c r="A22" s="28" t="s">
        <v>22</v>
      </c>
      <c r="B22" s="94"/>
      <c r="D22" s="70"/>
      <c r="E22" s="82" t="s">
        <v>35</v>
      </c>
      <c r="F22" s="173">
        <v>42916</v>
      </c>
      <c r="G22" s="173"/>
      <c r="H22" s="173"/>
      <c r="I22" s="174"/>
      <c r="J22" s="145"/>
      <c r="K22" s="19"/>
      <c r="L22" s="19"/>
      <c r="R22" s="128">
        <f t="shared" si="0"/>
        <v>1957</v>
      </c>
      <c r="S22" s="143">
        <v>4.59</v>
      </c>
      <c r="T22" s="143">
        <v>4.6900000000000004</v>
      </c>
      <c r="U22" s="143">
        <v>4.8</v>
      </c>
      <c r="V22" s="143">
        <v>4.91</v>
      </c>
      <c r="W22" s="143">
        <v>5.04</v>
      </c>
      <c r="X22" s="143">
        <v>5.17</v>
      </c>
      <c r="Y22" s="143">
        <v>5.31</v>
      </c>
      <c r="Z22" s="143">
        <v>5.45</v>
      </c>
      <c r="AA22" s="143">
        <v>5.62</v>
      </c>
      <c r="AB22" s="143">
        <v>5.79</v>
      </c>
      <c r="AC22" s="143">
        <v>5.98</v>
      </c>
      <c r="AD22" s="143">
        <v>6.18</v>
      </c>
      <c r="AE22" s="143">
        <v>6.4</v>
      </c>
    </row>
    <row r="23" spans="1:31" ht="15.75" hidden="1" customHeight="1">
      <c r="A23" s="86" t="s">
        <v>31</v>
      </c>
      <c r="B23" s="95"/>
      <c r="C23" s="146"/>
      <c r="D23" s="96"/>
      <c r="E23" s="83" t="s">
        <v>14</v>
      </c>
      <c r="F23" s="168">
        <v>350000</v>
      </c>
      <c r="G23" s="168"/>
      <c r="H23" s="168"/>
      <c r="I23" s="169"/>
      <c r="J23" s="94" t="str">
        <f>IF(AND(L8&lt;50,F23=0),"",IF(F23="","",(IF(OR(F23&gt;F10,L8&lt;50),"Eingabe falsch",""))))</f>
        <v/>
      </c>
      <c r="K23" s="42">
        <f>IF(L8="","",IF(L8&lt;50,F10,F10/2))</f>
        <v>325000</v>
      </c>
      <c r="L23" s="43">
        <f>MIN(I24,F10)</f>
        <v>350000</v>
      </c>
      <c r="M23" s="42">
        <f>IF(F22="","",IF(F23="",K23,IF(AND(F23&gt;K23,L8&gt;49,F23&gt;0),F23,K23)))</f>
        <v>350000</v>
      </c>
      <c r="N23" s="44" t="s">
        <v>24</v>
      </c>
      <c r="O23" s="44"/>
      <c r="P23" s="45"/>
      <c r="R23" s="128">
        <f t="shared" si="0"/>
        <v>1958</v>
      </c>
      <c r="S23" s="143">
        <v>4.59</v>
      </c>
      <c r="T23" s="143">
        <v>4.6900000000000004</v>
      </c>
      <c r="U23" s="143">
        <v>4.8</v>
      </c>
      <c r="V23" s="143">
        <v>4.91</v>
      </c>
      <c r="W23" s="143">
        <v>5.04</v>
      </c>
      <c r="X23" s="143">
        <v>5.17</v>
      </c>
      <c r="Y23" s="143">
        <v>5.31</v>
      </c>
      <c r="Z23" s="143">
        <v>5.45</v>
      </c>
      <c r="AA23" s="143">
        <v>5.62</v>
      </c>
      <c r="AB23" s="143">
        <v>5.79</v>
      </c>
      <c r="AC23" s="143">
        <v>5.98</v>
      </c>
      <c r="AD23" s="143">
        <v>6.18</v>
      </c>
      <c r="AE23" s="143">
        <v>6.4</v>
      </c>
    </row>
    <row r="24" spans="1:31" ht="15.75" hidden="1" customHeight="1">
      <c r="A24" s="86" t="s">
        <v>40</v>
      </c>
      <c r="B24" s="95"/>
      <c r="C24" s="97"/>
      <c r="D24" s="96"/>
      <c r="E24" s="82" t="s">
        <v>14</v>
      </c>
      <c r="F24" s="147"/>
      <c r="G24" s="147"/>
      <c r="H24" s="147"/>
      <c r="I24" s="148">
        <f>IF(OR(OR(F10&lt;20000,M$23=""),J7="kein Bezug möglich"),"",M$23)</f>
        <v>350000</v>
      </c>
      <c r="J24" s="124"/>
      <c r="K24" s="42"/>
      <c r="L24" s="46" t="s">
        <v>32</v>
      </c>
      <c r="M24" s="63">
        <f>1+(M38/12*MONTH(F7))</f>
        <v>1.0075000000000001</v>
      </c>
      <c r="N24" s="64"/>
      <c r="O24" s="46">
        <f>1+(L38/12*MONTH(F7))</f>
        <v>1.0149999999999999</v>
      </c>
      <c r="P24" s="44" t="s">
        <v>27</v>
      </c>
      <c r="R24" s="128">
        <f t="shared" si="0"/>
        <v>1959</v>
      </c>
      <c r="S24" s="143">
        <v>4.59</v>
      </c>
      <c r="T24" s="143">
        <v>4.6900000000000004</v>
      </c>
      <c r="U24" s="143">
        <v>4.8</v>
      </c>
      <c r="V24" s="143">
        <v>4.91</v>
      </c>
      <c r="W24" s="143">
        <v>5.04</v>
      </c>
      <c r="X24" s="143">
        <v>5.17</v>
      </c>
      <c r="Y24" s="143">
        <v>5.31</v>
      </c>
      <c r="Z24" s="143">
        <v>5.45</v>
      </c>
      <c r="AA24" s="143">
        <v>5.62</v>
      </c>
      <c r="AB24" s="143">
        <v>5.79</v>
      </c>
      <c r="AC24" s="143">
        <v>5.98</v>
      </c>
      <c r="AD24" s="143">
        <v>6.18</v>
      </c>
      <c r="AE24" s="143">
        <v>6.4</v>
      </c>
    </row>
    <row r="25" spans="1:31" ht="15.75" customHeight="1">
      <c r="A25" s="28" t="s">
        <v>52</v>
      </c>
      <c r="B25" s="94"/>
      <c r="D25" s="70"/>
      <c r="E25" s="82" t="s">
        <v>14</v>
      </c>
      <c r="F25" s="168">
        <v>100000</v>
      </c>
      <c r="G25" s="168"/>
      <c r="H25" s="168"/>
      <c r="I25" s="169"/>
      <c r="J25" s="40" t="str">
        <f>IF(F25="","",IF(F25&gt;F10,"zu hoch",IF(OR(F25=0,F25&gt;19999),"","mind. CHF 20'000")))</f>
        <v/>
      </c>
      <c r="K25" s="44"/>
      <c r="L25" s="48">
        <f>IF($L$23&lt;$F$25,($L$23*$F$11)/360*$N$21+$L$23,($F$25*$F$11)/360*$N$21+$F$25)</f>
        <v>100500</v>
      </c>
      <c r="M25" s="65" t="s">
        <v>26</v>
      </c>
      <c r="N25" s="63" t="s">
        <v>30</v>
      </c>
      <c r="O25" s="42" t="s">
        <v>26</v>
      </c>
      <c r="P25" s="46" t="s">
        <v>30</v>
      </c>
      <c r="R25" s="128">
        <f t="shared" si="0"/>
        <v>1960</v>
      </c>
      <c r="S25" s="143">
        <v>4.59</v>
      </c>
      <c r="T25" s="143">
        <v>4.6900000000000004</v>
      </c>
      <c r="U25" s="143">
        <v>4.8</v>
      </c>
      <c r="V25" s="143">
        <v>4.91</v>
      </c>
      <c r="W25" s="143">
        <v>5.04</v>
      </c>
      <c r="X25" s="143">
        <v>5.17</v>
      </c>
      <c r="Y25" s="143">
        <v>5.31</v>
      </c>
      <c r="Z25" s="143">
        <v>5.45</v>
      </c>
      <c r="AA25" s="143">
        <v>5.62</v>
      </c>
      <c r="AB25" s="143">
        <v>5.79</v>
      </c>
      <c r="AC25" s="143">
        <v>5.98</v>
      </c>
      <c r="AD25" s="143">
        <v>6.18</v>
      </c>
      <c r="AE25" s="143">
        <v>6.4</v>
      </c>
    </row>
    <row r="26" spans="1:31" ht="10.15" customHeight="1">
      <c r="A26" s="28"/>
      <c r="B26" s="94"/>
      <c r="D26" s="32"/>
      <c r="E26" s="32"/>
      <c r="F26" s="149"/>
      <c r="G26" s="149"/>
      <c r="H26" s="149"/>
      <c r="I26" s="149"/>
      <c r="J26" s="40"/>
      <c r="K26" s="49" t="s">
        <v>25</v>
      </c>
      <c r="L26" s="48">
        <f>IF($L$23&lt;$F$25,($L$23*$F$11)/360*$N$20+$L$23,($F$25*$F$11)/360*$N$20+$F$25)</f>
        <v>100250</v>
      </c>
      <c r="M26" s="66"/>
      <c r="N26" s="65"/>
      <c r="O26" s="42"/>
      <c r="P26" s="46"/>
      <c r="R26" s="128">
        <f t="shared" si="0"/>
        <v>1961</v>
      </c>
      <c r="S26" s="143">
        <v>4.59</v>
      </c>
      <c r="T26" s="143">
        <v>4.6900000000000004</v>
      </c>
      <c r="U26" s="143">
        <v>4.8</v>
      </c>
      <c r="V26" s="143">
        <v>4.91</v>
      </c>
      <c r="W26" s="143">
        <v>5.04</v>
      </c>
      <c r="X26" s="143">
        <v>5.17</v>
      </c>
      <c r="Y26" s="143">
        <v>5.31</v>
      </c>
      <c r="Z26" s="143">
        <v>5.45</v>
      </c>
      <c r="AA26" s="143">
        <v>5.62</v>
      </c>
      <c r="AB26" s="143">
        <v>5.79</v>
      </c>
      <c r="AC26" s="143">
        <v>5.98</v>
      </c>
      <c r="AD26" s="143">
        <v>6.18</v>
      </c>
      <c r="AE26" s="143">
        <v>6.4</v>
      </c>
    </row>
    <row r="27" spans="1:31" ht="20.45" customHeight="1">
      <c r="A27" s="179" t="s">
        <v>59</v>
      </c>
      <c r="B27" s="179"/>
      <c r="C27" s="179"/>
      <c r="D27" s="179"/>
      <c r="E27" s="179"/>
      <c r="F27" s="179"/>
      <c r="G27" s="179"/>
      <c r="H27" s="179"/>
      <c r="I27" s="179"/>
      <c r="J27" s="150"/>
      <c r="K27" s="51">
        <f>VLOOKUP(YEAR($F$7),$R$4:$AE$60,2)</f>
        <v>4.59</v>
      </c>
      <c r="L27" s="50">
        <f t="shared" ref="L27:L33" si="3">L28-1</f>
        <v>58</v>
      </c>
      <c r="M27" s="67">
        <f t="shared" ref="M27:M34" si="4">IF(OR($L$8&gt;=$L27,$L$8=0),0,VLOOKUP(($L27-($L$8+1)),$K$41:$M$81,3))</f>
        <v>1.01</v>
      </c>
      <c r="N27" s="64">
        <f t="shared" ref="N27:N34" si="5">ROUND((I35*C35)/12,0)</f>
        <v>-391</v>
      </c>
      <c r="O27" s="52">
        <f t="shared" ref="O27:O34" si="6">IF(OR($L$8&gt;=$L27,$L$8=0),0,VLOOKUP(($L27-($L$8+1)),$K$41:$M$81,2))</f>
        <v>1.02</v>
      </c>
      <c r="P27" s="47">
        <f t="shared" ref="P27:P34" si="7">ROUND((F35*C35)/12,0)</f>
        <v>-398</v>
      </c>
      <c r="R27" s="128">
        <f t="shared" si="0"/>
        <v>1962</v>
      </c>
      <c r="S27" s="143">
        <v>4.59</v>
      </c>
      <c r="T27" s="143">
        <v>4.6900000000000004</v>
      </c>
      <c r="U27" s="143">
        <v>4.8</v>
      </c>
      <c r="V27" s="143">
        <v>4.91</v>
      </c>
      <c r="W27" s="143">
        <v>5.04</v>
      </c>
      <c r="X27" s="143">
        <v>5.17</v>
      </c>
      <c r="Y27" s="143">
        <v>5.31</v>
      </c>
      <c r="Z27" s="143">
        <v>5.45</v>
      </c>
      <c r="AA27" s="143">
        <v>5.62</v>
      </c>
      <c r="AB27" s="143">
        <v>5.79</v>
      </c>
      <c r="AC27" s="143">
        <v>5.98</v>
      </c>
      <c r="AD27" s="143">
        <v>6.18</v>
      </c>
      <c r="AE27" s="143">
        <v>6.4</v>
      </c>
    </row>
    <row r="28" spans="1:31" ht="11.25" customHeight="1">
      <c r="C28" s="8"/>
      <c r="D28" s="9"/>
      <c r="E28" s="9"/>
      <c r="F28" s="10"/>
      <c r="G28" s="10"/>
      <c r="H28" s="10"/>
      <c r="J28" s="151"/>
      <c r="K28" s="51">
        <f>VLOOKUP(YEAR($F$7),$R$4:$AE$60,3)</f>
        <v>4.6900000000000004</v>
      </c>
      <c r="L28" s="50">
        <f t="shared" si="3"/>
        <v>59</v>
      </c>
      <c r="M28" s="67">
        <f t="shared" si="4"/>
        <v>1.0201</v>
      </c>
      <c r="N28" s="64">
        <f t="shared" si="5"/>
        <v>-404</v>
      </c>
      <c r="O28" s="52">
        <f t="shared" si="6"/>
        <v>1.0404</v>
      </c>
      <c r="P28" s="47">
        <f t="shared" si="7"/>
        <v>-415</v>
      </c>
      <c r="R28" s="128">
        <f t="shared" si="0"/>
        <v>1963</v>
      </c>
      <c r="S28" s="143">
        <v>4.59</v>
      </c>
      <c r="T28" s="143">
        <v>4.6900000000000004</v>
      </c>
      <c r="U28" s="143">
        <v>4.8</v>
      </c>
      <c r="V28" s="143">
        <v>4.91</v>
      </c>
      <c r="W28" s="143">
        <v>5.04</v>
      </c>
      <c r="X28" s="143">
        <v>5.17</v>
      </c>
      <c r="Y28" s="143">
        <v>5.31</v>
      </c>
      <c r="Z28" s="143">
        <v>5.45</v>
      </c>
      <c r="AA28" s="143">
        <v>5.62</v>
      </c>
      <c r="AB28" s="143">
        <v>5.79</v>
      </c>
      <c r="AC28" s="143">
        <v>5.98</v>
      </c>
      <c r="AD28" s="143">
        <v>6.18</v>
      </c>
      <c r="AE28" s="143">
        <v>6.4</v>
      </c>
    </row>
    <row r="29" spans="1:31" ht="18" customHeight="1">
      <c r="A29" s="180" t="s">
        <v>41</v>
      </c>
      <c r="B29" s="180"/>
      <c r="C29" s="180"/>
      <c r="D29" s="180"/>
      <c r="E29" s="180"/>
      <c r="F29" s="180"/>
      <c r="G29" s="180"/>
      <c r="H29" s="180"/>
      <c r="I29" s="180"/>
      <c r="J29" s="151"/>
      <c r="K29" s="51">
        <f>VLOOKUP(YEAR($F$7),$R$4:$AE$60,4)</f>
        <v>4.8</v>
      </c>
      <c r="L29" s="50">
        <f t="shared" si="3"/>
        <v>60</v>
      </c>
      <c r="M29" s="67">
        <f t="shared" si="4"/>
        <v>1.0303009999999999</v>
      </c>
      <c r="N29" s="64">
        <f t="shared" si="5"/>
        <v>-417</v>
      </c>
      <c r="O29" s="52">
        <f t="shared" si="6"/>
        <v>1.0612079999999999</v>
      </c>
      <c r="P29" s="47">
        <f t="shared" si="7"/>
        <v>-433</v>
      </c>
      <c r="R29" s="128">
        <f t="shared" si="0"/>
        <v>1964</v>
      </c>
      <c r="S29" s="143">
        <v>4.59</v>
      </c>
      <c r="T29" s="143">
        <v>4.6900000000000004</v>
      </c>
      <c r="U29" s="143">
        <v>4.8</v>
      </c>
      <c r="V29" s="143">
        <v>4.91</v>
      </c>
      <c r="W29" s="143">
        <v>5.04</v>
      </c>
      <c r="X29" s="143">
        <v>5.17</v>
      </c>
      <c r="Y29" s="143">
        <v>5.31</v>
      </c>
      <c r="Z29" s="143">
        <v>5.45</v>
      </c>
      <c r="AA29" s="143">
        <v>5.62</v>
      </c>
      <c r="AB29" s="143">
        <v>5.79</v>
      </c>
      <c r="AC29" s="143">
        <v>5.98</v>
      </c>
      <c r="AD29" s="143">
        <v>6.18</v>
      </c>
      <c r="AE29" s="143">
        <v>6.4</v>
      </c>
    </row>
    <row r="30" spans="1:31" ht="63" customHeight="1">
      <c r="A30" s="182" t="s">
        <v>60</v>
      </c>
      <c r="B30" s="182"/>
      <c r="C30" s="182"/>
      <c r="D30" s="182"/>
      <c r="E30" s="182"/>
      <c r="F30" s="182"/>
      <c r="G30" s="182"/>
      <c r="H30" s="182"/>
      <c r="I30" s="182"/>
      <c r="J30" s="152"/>
      <c r="K30" s="51">
        <f>VLOOKUP(YEAR($F$7),$R$4:$AE$60,5)</f>
        <v>4.91</v>
      </c>
      <c r="L30" s="50">
        <f t="shared" si="3"/>
        <v>61</v>
      </c>
      <c r="M30" s="67">
        <f t="shared" si="4"/>
        <v>1.04060401</v>
      </c>
      <c r="N30" s="64">
        <f t="shared" si="5"/>
        <v>-431</v>
      </c>
      <c r="O30" s="52">
        <f t="shared" si="6"/>
        <v>1.08243216</v>
      </c>
      <c r="P30" s="47">
        <f t="shared" si="7"/>
        <v>-452</v>
      </c>
      <c r="R30" s="128">
        <f t="shared" si="0"/>
        <v>1965</v>
      </c>
      <c r="S30" s="143">
        <v>4.59</v>
      </c>
      <c r="T30" s="143">
        <v>4.6900000000000004</v>
      </c>
      <c r="U30" s="143">
        <v>4.8</v>
      </c>
      <c r="V30" s="143">
        <v>4.91</v>
      </c>
      <c r="W30" s="143">
        <v>5.04</v>
      </c>
      <c r="X30" s="143">
        <v>5.17</v>
      </c>
      <c r="Y30" s="143">
        <v>5.31</v>
      </c>
      <c r="Z30" s="143">
        <v>5.45</v>
      </c>
      <c r="AA30" s="143">
        <v>5.62</v>
      </c>
      <c r="AB30" s="143">
        <v>5.79</v>
      </c>
      <c r="AC30" s="143">
        <v>5.98</v>
      </c>
      <c r="AD30" s="143">
        <v>6.18</v>
      </c>
      <c r="AE30" s="143">
        <v>6.4</v>
      </c>
    </row>
    <row r="31" spans="1:31" ht="18" customHeight="1">
      <c r="A31" s="111" t="s">
        <v>54</v>
      </c>
      <c r="B31" s="112"/>
      <c r="C31" s="113"/>
      <c r="D31" s="113"/>
      <c r="E31" s="181" t="str">
        <f>CONCATENATE(L38*100," %"," Zins")</f>
        <v>2 % Zins</v>
      </c>
      <c r="F31" s="181"/>
      <c r="G31" s="114"/>
      <c r="H31" s="181" t="str">
        <f>CONCATENATE(M38*100," %"," Zins")</f>
        <v>1 % Zins</v>
      </c>
      <c r="I31" s="185"/>
      <c r="J31" s="152"/>
      <c r="K31" s="51">
        <f>VLOOKUP(YEAR($F$7),$R$4:$AE$60,6)</f>
        <v>5.04</v>
      </c>
      <c r="L31" s="50">
        <f t="shared" si="3"/>
        <v>62</v>
      </c>
      <c r="M31" s="67">
        <f t="shared" si="4"/>
        <v>1.0510100500999999</v>
      </c>
      <c r="N31" s="64">
        <f t="shared" si="5"/>
        <v>-447</v>
      </c>
      <c r="O31" s="52">
        <f t="shared" si="6"/>
        <v>1.1040808032</v>
      </c>
      <c r="P31" s="47">
        <f t="shared" si="7"/>
        <v>-473</v>
      </c>
      <c r="R31" s="128">
        <f t="shared" si="0"/>
        <v>1966</v>
      </c>
      <c r="S31" s="143">
        <v>4.59</v>
      </c>
      <c r="T31" s="143">
        <v>4.6900000000000004</v>
      </c>
      <c r="U31" s="143">
        <v>4.8</v>
      </c>
      <c r="V31" s="143">
        <v>4.91</v>
      </c>
      <c r="W31" s="143">
        <v>5.04</v>
      </c>
      <c r="X31" s="143">
        <v>5.17</v>
      </c>
      <c r="Y31" s="143">
        <v>5.31</v>
      </c>
      <c r="Z31" s="143">
        <v>5.45</v>
      </c>
      <c r="AA31" s="143">
        <v>5.62</v>
      </c>
      <c r="AB31" s="143">
        <v>5.79</v>
      </c>
      <c r="AC31" s="143">
        <v>5.98</v>
      </c>
      <c r="AD31" s="143">
        <v>6.18</v>
      </c>
      <c r="AE31" s="143">
        <v>6.4</v>
      </c>
    </row>
    <row r="32" spans="1:31" ht="15.75" customHeight="1">
      <c r="A32" s="74" t="s">
        <v>28</v>
      </c>
      <c r="B32" s="106"/>
      <c r="C32" s="75"/>
      <c r="D32" s="76">
        <f>IF($F$9="","",$F$9)</f>
        <v>42736</v>
      </c>
      <c r="E32" s="183">
        <f>IF($F$22="","",$F$22)</f>
        <v>42916</v>
      </c>
      <c r="F32" s="184"/>
      <c r="G32" s="77">
        <f>IF($F$9="","",$F$9)</f>
        <v>42736</v>
      </c>
      <c r="H32" s="183">
        <f>IF($F$22="","",$F$22)</f>
        <v>42916</v>
      </c>
      <c r="I32" s="184"/>
      <c r="J32" s="152"/>
      <c r="K32" s="51">
        <f>VLOOKUP(YEAR($F$7),$R$4:$AE$60,7)</f>
        <v>5.17</v>
      </c>
      <c r="L32" s="50">
        <f t="shared" si="3"/>
        <v>63</v>
      </c>
      <c r="M32" s="67">
        <f t="shared" si="4"/>
        <v>1.0615201506009999</v>
      </c>
      <c r="N32" s="64">
        <f t="shared" si="5"/>
        <v>-463</v>
      </c>
      <c r="O32" s="52">
        <f t="shared" si="6"/>
        <v>1.1261624192640001</v>
      </c>
      <c r="P32" s="47">
        <f t="shared" si="7"/>
        <v>-495</v>
      </c>
      <c r="R32" s="128">
        <f t="shared" si="0"/>
        <v>1967</v>
      </c>
      <c r="S32" s="143">
        <v>4.59</v>
      </c>
      <c r="T32" s="143">
        <v>4.6900000000000004</v>
      </c>
      <c r="U32" s="143">
        <v>4.8</v>
      </c>
      <c r="V32" s="143">
        <v>4.91</v>
      </c>
      <c r="W32" s="143">
        <v>5.04</v>
      </c>
      <c r="X32" s="143">
        <v>5.17</v>
      </c>
      <c r="Y32" s="143">
        <v>5.31</v>
      </c>
      <c r="Z32" s="143">
        <v>5.45</v>
      </c>
      <c r="AA32" s="143">
        <v>5.62</v>
      </c>
      <c r="AB32" s="143">
        <v>5.79</v>
      </c>
      <c r="AC32" s="143">
        <v>5.98</v>
      </c>
      <c r="AD32" s="143">
        <v>6.18</v>
      </c>
      <c r="AE32" s="143">
        <v>6.4</v>
      </c>
    </row>
    <row r="33" spans="1:31" ht="15.75" customHeight="1">
      <c r="A33" s="81" t="str">
        <f>IF(D32="","",IF(YEAR(E32)&gt;YEAR(D32),"Vergleich nur im gleichen Jahr korrekt",""))</f>
        <v/>
      </c>
      <c r="B33" s="84"/>
      <c r="C33" s="70"/>
      <c r="D33" s="187" t="s">
        <v>29</v>
      </c>
      <c r="E33" s="187"/>
      <c r="F33" s="115" t="s">
        <v>53</v>
      </c>
      <c r="G33" s="186" t="s">
        <v>29</v>
      </c>
      <c r="H33" s="187"/>
      <c r="I33" s="118" t="s">
        <v>53</v>
      </c>
      <c r="J33" s="152"/>
      <c r="K33" s="51">
        <f>VLOOKUP(YEAR($F$7),$R$4:$AE$60,8)</f>
        <v>5.31</v>
      </c>
      <c r="L33" s="50">
        <f t="shared" si="3"/>
        <v>64</v>
      </c>
      <c r="M33" s="67">
        <f t="shared" si="4"/>
        <v>1.0721353521070098</v>
      </c>
      <c r="N33" s="64">
        <f t="shared" si="5"/>
        <v>-480</v>
      </c>
      <c r="O33" s="52">
        <f t="shared" si="6"/>
        <v>1.14868566764928</v>
      </c>
      <c r="P33" s="47">
        <f t="shared" si="7"/>
        <v>-518</v>
      </c>
      <c r="R33" s="128">
        <f t="shared" si="0"/>
        <v>1968</v>
      </c>
      <c r="S33" s="143">
        <v>4.59</v>
      </c>
      <c r="T33" s="143">
        <v>4.6900000000000004</v>
      </c>
      <c r="U33" s="143">
        <v>4.8</v>
      </c>
      <c r="V33" s="143">
        <v>4.91</v>
      </c>
      <c r="W33" s="143">
        <v>5.04</v>
      </c>
      <c r="X33" s="143">
        <v>5.17</v>
      </c>
      <c r="Y33" s="143">
        <v>5.31</v>
      </c>
      <c r="Z33" s="143">
        <v>5.45</v>
      </c>
      <c r="AA33" s="143">
        <v>5.62</v>
      </c>
      <c r="AB33" s="143">
        <v>5.79</v>
      </c>
      <c r="AC33" s="143">
        <v>5.98</v>
      </c>
      <c r="AD33" s="143">
        <v>6.18</v>
      </c>
      <c r="AE33" s="143">
        <v>6.4</v>
      </c>
    </row>
    <row r="34" spans="1:31" ht="15.75" customHeight="1">
      <c r="A34" s="71" t="s">
        <v>57</v>
      </c>
      <c r="B34" s="107"/>
      <c r="C34" s="72" t="s">
        <v>25</v>
      </c>
      <c r="D34" s="73" t="s">
        <v>51</v>
      </c>
      <c r="E34" s="116" t="s">
        <v>64</v>
      </c>
      <c r="F34" s="117" t="s">
        <v>56</v>
      </c>
      <c r="G34" s="78" t="s">
        <v>51</v>
      </c>
      <c r="H34" s="119" t="s">
        <v>64</v>
      </c>
      <c r="I34" s="120" t="s">
        <v>56</v>
      </c>
      <c r="K34" s="51">
        <f>VLOOKUP(YEAR($F$7),$R$4:$AE$60,9)</f>
        <v>5.45</v>
      </c>
      <c r="L34" s="50">
        <v>65</v>
      </c>
      <c r="M34" s="67">
        <f t="shared" si="4"/>
        <v>1.08285670562808</v>
      </c>
      <c r="N34" s="64">
        <f t="shared" si="5"/>
        <v>-498</v>
      </c>
      <c r="O34" s="52">
        <f t="shared" si="6"/>
        <v>1.1716593810022657</v>
      </c>
      <c r="P34" s="47">
        <f t="shared" si="7"/>
        <v>-543</v>
      </c>
      <c r="R34" s="128">
        <f>R33+1</f>
        <v>1969</v>
      </c>
      <c r="S34" s="143">
        <v>4.59</v>
      </c>
      <c r="T34" s="143">
        <v>4.6900000000000004</v>
      </c>
      <c r="U34" s="143">
        <v>4.8</v>
      </c>
      <c r="V34" s="143">
        <v>4.91</v>
      </c>
      <c r="W34" s="143">
        <v>5.04</v>
      </c>
      <c r="X34" s="143">
        <v>5.17</v>
      </c>
      <c r="Y34" s="143">
        <v>5.31</v>
      </c>
      <c r="Z34" s="143">
        <v>5.45</v>
      </c>
      <c r="AA34" s="143">
        <v>5.62</v>
      </c>
      <c r="AB34" s="143">
        <v>5.79</v>
      </c>
      <c r="AC34" s="143">
        <v>5.98</v>
      </c>
      <c r="AD34" s="143">
        <v>6.18</v>
      </c>
      <c r="AE34" s="143">
        <v>6.4</v>
      </c>
    </row>
    <row r="35" spans="1:31" ht="21.6" customHeight="1">
      <c r="A35" s="153" t="str">
        <f>IF(C35="*","Alter 58  *Rente bei PK anfragen","Alter 58")</f>
        <v>Alter 58</v>
      </c>
      <c r="B35" s="154">
        <f>IF(E6="",58,58)</f>
        <v>58</v>
      </c>
      <c r="C35" s="155">
        <f t="shared" ref="C35:C42" si="8">IF(OR(F$7="",M$7&gt;B35),"",IF(AND($L$8=B35,YEAR($D$32)=2014),"*",K27/100))</f>
        <v>4.5899999999999996E-2</v>
      </c>
      <c r="D35" s="87">
        <f>IF(K12="","",K12/100*100)</f>
        <v>40000</v>
      </c>
      <c r="E35" s="156">
        <f t="shared" ref="E35:E42" si="9">IF(C35="","",IF(OR(OR($M$7&gt;$L27,$F$25=""),E$32=""),"",IF(C35="*","*",(IF(D35="",(12*P27),D35+(12*P27))))))</f>
        <v>35224</v>
      </c>
      <c r="F35" s="157">
        <f t="shared" ref="F35:F37" si="10">IF(OR(B35&lt;$M$7,E$32=""),"",IF(B35=$L$8,ROUND(-$L$26,0),ROUND(-(L$25*O27*O$24),0)))</f>
        <v>-104048</v>
      </c>
      <c r="G35" s="88">
        <f>IF(L12="","",L12/100*100)</f>
        <v>39500</v>
      </c>
      <c r="H35" s="158">
        <f t="shared" ref="H35:H42" si="11">IF(C35="","",IF(OR(OR($M$7&gt;$L27,$F$25=""),H$32=""),"",IF(C35="*","*",(IF(G35="",(12*N27),G35+(12*N27))))))</f>
        <v>34808</v>
      </c>
      <c r="I35" s="159">
        <f t="shared" ref="I35:I36" si="12">IF(OR(B35&lt;$M$7,H$32=""),"",IF(B35=$L$8,ROUND(-$L$26,0),ROUND(-(L$25*M27*M$24),0)))</f>
        <v>-102266</v>
      </c>
      <c r="K35" s="16" t="s">
        <v>17</v>
      </c>
      <c r="M35" s="27"/>
      <c r="R35" s="128">
        <f t="shared" si="0"/>
        <v>1970</v>
      </c>
      <c r="S35" s="143">
        <v>4.59</v>
      </c>
      <c r="T35" s="143">
        <v>4.6900000000000004</v>
      </c>
      <c r="U35" s="143">
        <v>4.8</v>
      </c>
      <c r="V35" s="143">
        <v>4.91</v>
      </c>
      <c r="W35" s="143">
        <v>5.04</v>
      </c>
      <c r="X35" s="143">
        <v>5.17</v>
      </c>
      <c r="Y35" s="143">
        <v>5.31</v>
      </c>
      <c r="Z35" s="143">
        <v>5.45</v>
      </c>
      <c r="AA35" s="143">
        <v>5.62</v>
      </c>
      <c r="AB35" s="143">
        <v>5.79</v>
      </c>
      <c r="AC35" s="143">
        <v>5.98</v>
      </c>
      <c r="AD35" s="143">
        <v>6.18</v>
      </c>
      <c r="AE35" s="143">
        <v>6.4</v>
      </c>
    </row>
    <row r="36" spans="1:31" ht="21.6" customHeight="1">
      <c r="A36" s="153" t="str">
        <f>IF(C36="*","Alter 59  *Rente bei PK anfragen","Alter 59")</f>
        <v>Alter 59</v>
      </c>
      <c r="B36" s="160">
        <f>B35+1</f>
        <v>59</v>
      </c>
      <c r="C36" s="155">
        <f t="shared" si="8"/>
        <v>4.6900000000000004E-2</v>
      </c>
      <c r="D36" s="87">
        <f t="shared" ref="D36:D42" si="13">IF(K13="","",K13/100*100)</f>
        <v>43000</v>
      </c>
      <c r="E36" s="156">
        <f t="shared" si="9"/>
        <v>38020</v>
      </c>
      <c r="F36" s="157">
        <f t="shared" si="10"/>
        <v>-106129</v>
      </c>
      <c r="G36" s="88">
        <f t="shared" ref="G36:G42" si="14">IF(L13="","",L13/100*100)</f>
        <v>41500</v>
      </c>
      <c r="H36" s="158">
        <f t="shared" si="11"/>
        <v>36652</v>
      </c>
      <c r="I36" s="159">
        <f t="shared" si="12"/>
        <v>-103289</v>
      </c>
      <c r="K36" s="17"/>
      <c r="L36" s="18" t="s">
        <v>16</v>
      </c>
      <c r="M36" s="18" t="s">
        <v>16</v>
      </c>
      <c r="O36" s="36" t="s">
        <v>42</v>
      </c>
      <c r="P36" s="36" t="s">
        <v>18</v>
      </c>
      <c r="R36" s="128">
        <f t="shared" si="0"/>
        <v>1971</v>
      </c>
      <c r="S36" s="143">
        <v>4.59</v>
      </c>
      <c r="T36" s="143">
        <v>4.6900000000000004</v>
      </c>
      <c r="U36" s="143">
        <v>4.8</v>
      </c>
      <c r="V36" s="143">
        <v>4.91</v>
      </c>
      <c r="W36" s="143">
        <v>5.04</v>
      </c>
      <c r="X36" s="143">
        <v>5.17</v>
      </c>
      <c r="Y36" s="143">
        <v>5.31</v>
      </c>
      <c r="Z36" s="143">
        <v>5.45</v>
      </c>
      <c r="AA36" s="143">
        <v>5.62</v>
      </c>
      <c r="AB36" s="143">
        <v>5.79</v>
      </c>
      <c r="AC36" s="143">
        <v>5.98</v>
      </c>
      <c r="AD36" s="143">
        <v>6.18</v>
      </c>
      <c r="AE36" s="143">
        <v>6.4</v>
      </c>
    </row>
    <row r="37" spans="1:31" ht="21.6" customHeight="1">
      <c r="A37" s="153" t="str">
        <f>IF(C37="*","Alter 60  *Rente bei PK anfragen","Alter 60")</f>
        <v>Alter 60</v>
      </c>
      <c r="B37" s="160">
        <f t="shared" ref="B37:B42" si="15">B36+1</f>
        <v>60</v>
      </c>
      <c r="C37" s="155">
        <f t="shared" si="8"/>
        <v>4.8000000000000001E-2</v>
      </c>
      <c r="D37" s="87">
        <f t="shared" si="13"/>
        <v>45000</v>
      </c>
      <c r="E37" s="156">
        <f t="shared" si="9"/>
        <v>39804</v>
      </c>
      <c r="F37" s="157">
        <f t="shared" si="10"/>
        <v>-108251</v>
      </c>
      <c r="G37" s="88">
        <f t="shared" si="14"/>
        <v>42000</v>
      </c>
      <c r="H37" s="158">
        <f t="shared" si="11"/>
        <v>36996</v>
      </c>
      <c r="I37" s="159">
        <f t="shared" ref="I37:I42" si="16">IF(OR(B37&lt;$M$7,H$32=""),"",IF(B37=$L$8,ROUND(-$L$26,0),ROUND(-(L$25*M29*M$24),0)))</f>
        <v>-104322</v>
      </c>
      <c r="K37" s="17"/>
      <c r="L37" s="18"/>
      <c r="M37" s="18"/>
      <c r="O37" s="36">
        <v>1</v>
      </c>
      <c r="P37" s="36">
        <v>31</v>
      </c>
      <c r="R37" s="128">
        <f t="shared" si="0"/>
        <v>1972</v>
      </c>
      <c r="S37" s="143">
        <v>4.59</v>
      </c>
      <c r="T37" s="143">
        <v>4.6900000000000004</v>
      </c>
      <c r="U37" s="143">
        <v>4.8</v>
      </c>
      <c r="V37" s="143">
        <v>4.91</v>
      </c>
      <c r="W37" s="143">
        <v>5.04</v>
      </c>
      <c r="X37" s="143">
        <v>5.17</v>
      </c>
      <c r="Y37" s="143">
        <v>5.31</v>
      </c>
      <c r="Z37" s="143">
        <v>5.45</v>
      </c>
      <c r="AA37" s="143">
        <v>5.62</v>
      </c>
      <c r="AB37" s="143">
        <v>5.79</v>
      </c>
      <c r="AC37" s="143">
        <v>5.98</v>
      </c>
      <c r="AD37" s="143">
        <v>6.18</v>
      </c>
      <c r="AE37" s="143">
        <v>6.4</v>
      </c>
    </row>
    <row r="38" spans="1:31" ht="21.6" customHeight="1">
      <c r="A38" s="153" t="str">
        <f>IF(C38="*","Alter 61  *Rente bei PK anfragen","Alter 61")</f>
        <v>Alter 61</v>
      </c>
      <c r="B38" s="160">
        <f t="shared" si="15"/>
        <v>61</v>
      </c>
      <c r="C38" s="155">
        <f t="shared" si="8"/>
        <v>4.9100000000000005E-2</v>
      </c>
      <c r="D38" s="87">
        <f t="shared" si="13"/>
        <v>47000</v>
      </c>
      <c r="E38" s="156">
        <f t="shared" si="9"/>
        <v>41576</v>
      </c>
      <c r="F38" s="157">
        <f>IF(OR(B38&lt;$M$7,E$32=""),"",IF(B38=$L$8,ROUND(-$L$26,0),ROUND(-(L$25*O30*O$24),0)))</f>
        <v>-110416</v>
      </c>
      <c r="G38" s="88">
        <f t="shared" si="14"/>
        <v>44000</v>
      </c>
      <c r="H38" s="158">
        <f t="shared" si="11"/>
        <v>38828</v>
      </c>
      <c r="I38" s="159">
        <f t="shared" si="16"/>
        <v>-105365</v>
      </c>
      <c r="K38" s="17"/>
      <c r="L38" s="20">
        <f>F12</f>
        <v>0.02</v>
      </c>
      <c r="M38" s="20">
        <f>H12</f>
        <v>0.01</v>
      </c>
      <c r="O38" s="36">
        <f>O37+1</f>
        <v>2</v>
      </c>
      <c r="P38" s="36">
        <v>28</v>
      </c>
      <c r="R38" s="128">
        <f t="shared" si="0"/>
        <v>1973</v>
      </c>
      <c r="S38" s="143">
        <v>4.59</v>
      </c>
      <c r="T38" s="143">
        <v>4.6900000000000004</v>
      </c>
      <c r="U38" s="143">
        <v>4.8</v>
      </c>
      <c r="V38" s="143">
        <v>4.91</v>
      </c>
      <c r="W38" s="143">
        <v>5.04</v>
      </c>
      <c r="X38" s="143">
        <v>5.17</v>
      </c>
      <c r="Y38" s="143">
        <v>5.31</v>
      </c>
      <c r="Z38" s="143">
        <v>5.45</v>
      </c>
      <c r="AA38" s="143">
        <v>5.62</v>
      </c>
      <c r="AB38" s="143">
        <v>5.79</v>
      </c>
      <c r="AC38" s="143">
        <v>5.98</v>
      </c>
      <c r="AD38" s="143">
        <v>6.18</v>
      </c>
      <c r="AE38" s="143">
        <v>6.4</v>
      </c>
    </row>
    <row r="39" spans="1:31" ht="21.6" customHeight="1">
      <c r="A39" s="153" t="str">
        <f>IF(C39="*","Alter 62  *Rente bei PK anfragen","Alter 62")</f>
        <v>Alter 62</v>
      </c>
      <c r="B39" s="160">
        <f t="shared" si="15"/>
        <v>62</v>
      </c>
      <c r="C39" s="155">
        <f t="shared" si="8"/>
        <v>5.04E-2</v>
      </c>
      <c r="D39" s="87">
        <f t="shared" si="13"/>
        <v>49000</v>
      </c>
      <c r="E39" s="156">
        <f t="shared" si="9"/>
        <v>43324</v>
      </c>
      <c r="F39" s="157">
        <f>IF(OR(B39&lt;$M$7,E$32=""),"",IF(B39=$L$8,ROUND(-$L$26,0),ROUND(-(L$25*O31*O$24),0)))</f>
        <v>-112625</v>
      </c>
      <c r="G39" s="88">
        <f t="shared" si="14"/>
        <v>45500</v>
      </c>
      <c r="H39" s="158">
        <f t="shared" si="11"/>
        <v>40136</v>
      </c>
      <c r="I39" s="159">
        <f t="shared" si="16"/>
        <v>-106419</v>
      </c>
      <c r="J39" s="152"/>
      <c r="K39" s="17"/>
      <c r="L39" s="17" t="s">
        <v>16</v>
      </c>
      <c r="M39" s="17" t="s">
        <v>16</v>
      </c>
      <c r="O39" s="36">
        <f t="shared" ref="O39:O47" si="17">O38+1</f>
        <v>3</v>
      </c>
      <c r="P39" s="36">
        <v>31</v>
      </c>
      <c r="R39" s="128">
        <f t="shared" si="0"/>
        <v>1974</v>
      </c>
      <c r="S39" s="143">
        <v>4.59</v>
      </c>
      <c r="T39" s="143">
        <v>4.6900000000000004</v>
      </c>
      <c r="U39" s="143">
        <v>4.8</v>
      </c>
      <c r="V39" s="143">
        <v>4.91</v>
      </c>
      <c r="W39" s="143">
        <v>5.04</v>
      </c>
      <c r="X39" s="143">
        <v>5.17</v>
      </c>
      <c r="Y39" s="143">
        <v>5.31</v>
      </c>
      <c r="Z39" s="143">
        <v>5.45</v>
      </c>
      <c r="AA39" s="143">
        <v>5.62</v>
      </c>
      <c r="AB39" s="143">
        <v>5.79</v>
      </c>
      <c r="AC39" s="143">
        <v>5.98</v>
      </c>
      <c r="AD39" s="143">
        <v>6.18</v>
      </c>
      <c r="AE39" s="143">
        <v>6.4</v>
      </c>
    </row>
    <row r="40" spans="1:31" ht="21.6" customHeight="1">
      <c r="A40" s="153" t="str">
        <f>IF(C40="*","Alter 63  *Rente bei PK anfragen","Alter 63")</f>
        <v>Alter 63</v>
      </c>
      <c r="B40" s="160">
        <f t="shared" si="15"/>
        <v>63</v>
      </c>
      <c r="C40" s="155">
        <f t="shared" si="8"/>
        <v>5.1699999999999996E-2</v>
      </c>
      <c r="D40" s="87">
        <f t="shared" si="13"/>
        <v>51000</v>
      </c>
      <c r="E40" s="156">
        <f t="shared" si="9"/>
        <v>45060</v>
      </c>
      <c r="F40" s="157">
        <f>IF(OR(B40&lt;$M$7,E$32=""),"",IF(B40=$L$8,ROUND(-$L$26,0),ROUND(-(L$25*O32*O$24),0)))</f>
        <v>-114877</v>
      </c>
      <c r="G40" s="88">
        <f t="shared" si="14"/>
        <v>48000</v>
      </c>
      <c r="H40" s="158">
        <f t="shared" si="11"/>
        <v>42444</v>
      </c>
      <c r="I40" s="159">
        <f t="shared" si="16"/>
        <v>-107483</v>
      </c>
      <c r="J40" s="161"/>
      <c r="K40" s="17"/>
      <c r="L40" s="22">
        <v>0</v>
      </c>
      <c r="M40" s="22">
        <v>0</v>
      </c>
      <c r="O40" s="36">
        <f t="shared" si="17"/>
        <v>4</v>
      </c>
      <c r="P40" s="36">
        <v>30</v>
      </c>
      <c r="R40" s="128">
        <f t="shared" si="0"/>
        <v>1975</v>
      </c>
      <c r="S40" s="143">
        <v>4.59</v>
      </c>
      <c r="T40" s="143">
        <v>4.6900000000000004</v>
      </c>
      <c r="U40" s="143">
        <v>4.8</v>
      </c>
      <c r="V40" s="143">
        <v>4.91</v>
      </c>
      <c r="W40" s="143">
        <v>5.04</v>
      </c>
      <c r="X40" s="143">
        <v>5.17</v>
      </c>
      <c r="Y40" s="143">
        <v>5.31</v>
      </c>
      <c r="Z40" s="143">
        <v>5.45</v>
      </c>
      <c r="AA40" s="143">
        <v>5.62</v>
      </c>
      <c r="AB40" s="143">
        <v>5.79</v>
      </c>
      <c r="AC40" s="143">
        <v>5.98</v>
      </c>
      <c r="AD40" s="143">
        <v>6.18</v>
      </c>
      <c r="AE40" s="143">
        <v>6.4</v>
      </c>
    </row>
    <row r="41" spans="1:31" ht="21.6" customHeight="1">
      <c r="A41" s="153" t="str">
        <f>IF(C41="*","Alter 64  *Rente bei PK anfragen","Alter 64")</f>
        <v>Alter 64</v>
      </c>
      <c r="B41" s="160">
        <f t="shared" si="15"/>
        <v>64</v>
      </c>
      <c r="C41" s="155">
        <f t="shared" si="8"/>
        <v>5.3099999999999994E-2</v>
      </c>
      <c r="D41" s="87">
        <f t="shared" si="13"/>
        <v>53000</v>
      </c>
      <c r="E41" s="156">
        <f t="shared" si="9"/>
        <v>46784</v>
      </c>
      <c r="F41" s="157">
        <f>IF(OR(B41&lt;$M$7,E$32=""),"",IF(B41=$L$8,ROUND(-$L$26,0),ROUND(-(L$25*O33*O$24),0)))</f>
        <v>-117175</v>
      </c>
      <c r="G41" s="88">
        <f t="shared" si="14"/>
        <v>50000</v>
      </c>
      <c r="H41" s="158">
        <f t="shared" si="11"/>
        <v>44240</v>
      </c>
      <c r="I41" s="159">
        <f t="shared" si="16"/>
        <v>-108558</v>
      </c>
      <c r="J41" s="162"/>
      <c r="K41" s="37">
        <v>0</v>
      </c>
      <c r="L41" s="22">
        <v>1</v>
      </c>
      <c r="M41" s="22">
        <v>1</v>
      </c>
      <c r="O41" s="36">
        <f t="shared" si="17"/>
        <v>5</v>
      </c>
      <c r="P41" s="36">
        <v>31</v>
      </c>
      <c r="R41" s="128">
        <f t="shared" si="0"/>
        <v>1976</v>
      </c>
      <c r="S41" s="143">
        <v>4.59</v>
      </c>
      <c r="T41" s="143">
        <v>4.6900000000000004</v>
      </c>
      <c r="U41" s="143">
        <v>4.8</v>
      </c>
      <c r="V41" s="143">
        <v>4.91</v>
      </c>
      <c r="W41" s="143">
        <v>5.04</v>
      </c>
      <c r="X41" s="143">
        <v>5.17</v>
      </c>
      <c r="Y41" s="143">
        <v>5.31</v>
      </c>
      <c r="Z41" s="143">
        <v>5.45</v>
      </c>
      <c r="AA41" s="143">
        <v>5.62</v>
      </c>
      <c r="AB41" s="143">
        <v>5.79</v>
      </c>
      <c r="AC41" s="143">
        <v>5.98</v>
      </c>
      <c r="AD41" s="143">
        <v>6.18</v>
      </c>
      <c r="AE41" s="143">
        <v>6.4</v>
      </c>
    </row>
    <row r="42" spans="1:31" ht="21.6" customHeight="1">
      <c r="A42" s="153" t="str">
        <f>IF(C42="*","Alter 65  *Rente bei PK anfragen","Alter 65")</f>
        <v>Alter 65</v>
      </c>
      <c r="B42" s="160">
        <f t="shared" si="15"/>
        <v>65</v>
      </c>
      <c r="C42" s="155">
        <f t="shared" si="8"/>
        <v>5.45E-2</v>
      </c>
      <c r="D42" s="87">
        <f t="shared" si="13"/>
        <v>55000</v>
      </c>
      <c r="E42" s="156">
        <f t="shared" si="9"/>
        <v>48484</v>
      </c>
      <c r="F42" s="157">
        <f>IF(OR(B42&lt;$M$7,E$32=""),"",IF(B42=$L$8,ROUND(-$L$26,0),ROUND(-(L$25*O34*O$24),0)))</f>
        <v>-119518</v>
      </c>
      <c r="G42" s="88">
        <f t="shared" si="14"/>
        <v>53000</v>
      </c>
      <c r="H42" s="158">
        <f t="shared" si="11"/>
        <v>47024</v>
      </c>
      <c r="I42" s="159">
        <f t="shared" si="16"/>
        <v>-109643</v>
      </c>
      <c r="K42" s="17">
        <f>K41+1</f>
        <v>1</v>
      </c>
      <c r="L42" s="23">
        <f t="shared" ref="L42:M81" si="18">L41*(1+L$38)</f>
        <v>1.02</v>
      </c>
      <c r="M42" s="23">
        <f t="shared" si="18"/>
        <v>1.01</v>
      </c>
      <c r="O42" s="36">
        <f t="shared" si="17"/>
        <v>6</v>
      </c>
      <c r="P42" s="36">
        <v>30</v>
      </c>
      <c r="R42" s="128">
        <f t="shared" si="0"/>
        <v>1977</v>
      </c>
      <c r="S42" s="143">
        <v>4.59</v>
      </c>
      <c r="T42" s="143">
        <v>4.6900000000000004</v>
      </c>
      <c r="U42" s="143">
        <v>4.8</v>
      </c>
      <c r="V42" s="143">
        <v>4.91</v>
      </c>
      <c r="W42" s="143">
        <v>5.04</v>
      </c>
      <c r="X42" s="143">
        <v>5.17</v>
      </c>
      <c r="Y42" s="143">
        <v>5.31</v>
      </c>
      <c r="Z42" s="143">
        <v>5.45</v>
      </c>
      <c r="AA42" s="143">
        <v>5.62</v>
      </c>
      <c r="AB42" s="143">
        <v>5.79</v>
      </c>
      <c r="AC42" s="143">
        <v>5.98</v>
      </c>
      <c r="AD42" s="143">
        <v>6.18</v>
      </c>
      <c r="AE42" s="143">
        <v>6.4</v>
      </c>
    </row>
    <row r="43" spans="1:31" ht="32.450000000000003" customHeight="1">
      <c r="A43" s="178" t="s">
        <v>33</v>
      </c>
      <c r="B43" s="178"/>
      <c r="C43" s="178"/>
      <c r="D43" s="178"/>
      <c r="E43" s="178"/>
      <c r="F43" s="178"/>
      <c r="G43" s="178"/>
      <c r="H43" s="178"/>
      <c r="I43" s="178"/>
      <c r="K43" s="17">
        <f t="shared" ref="K43:K81" si="19">K42+1</f>
        <v>2</v>
      </c>
      <c r="L43" s="23">
        <f t="shared" si="18"/>
        <v>1.0404</v>
      </c>
      <c r="M43" s="23">
        <f t="shared" si="18"/>
        <v>1.0201</v>
      </c>
      <c r="O43" s="36">
        <f t="shared" si="17"/>
        <v>7</v>
      </c>
      <c r="P43" s="36">
        <v>31</v>
      </c>
      <c r="R43" s="128">
        <f t="shared" si="0"/>
        <v>1978</v>
      </c>
      <c r="S43" s="143">
        <v>4.59</v>
      </c>
      <c r="T43" s="143">
        <v>4.6900000000000004</v>
      </c>
      <c r="U43" s="143">
        <v>4.8</v>
      </c>
      <c r="V43" s="143">
        <v>4.91</v>
      </c>
      <c r="W43" s="143">
        <v>5.04</v>
      </c>
      <c r="X43" s="143">
        <v>5.17</v>
      </c>
      <c r="Y43" s="143">
        <v>5.31</v>
      </c>
      <c r="Z43" s="143">
        <v>5.45</v>
      </c>
      <c r="AA43" s="143">
        <v>5.62</v>
      </c>
      <c r="AB43" s="143">
        <v>5.79</v>
      </c>
      <c r="AC43" s="143">
        <v>5.98</v>
      </c>
      <c r="AD43" s="143">
        <v>6.18</v>
      </c>
      <c r="AE43" s="143">
        <v>6.4</v>
      </c>
    </row>
    <row r="44" spans="1:31" ht="30" customHeight="1">
      <c r="A44" s="89">
        <f ca="1">TODAY()</f>
        <v>42904</v>
      </c>
      <c r="B44" s="108"/>
      <c r="C44" s="90"/>
      <c r="D44" s="91"/>
      <c r="E44" s="91"/>
      <c r="F44" s="92"/>
      <c r="G44" s="92"/>
      <c r="H44" s="92"/>
      <c r="I44" s="93" t="str">
        <f>CONCATENATE("© BeBV"," - Version 2017.1.0")</f>
        <v>© BeBV - Version 2017.1.0</v>
      </c>
      <c r="K44" s="17">
        <f t="shared" si="19"/>
        <v>3</v>
      </c>
      <c r="L44" s="23">
        <f t="shared" si="18"/>
        <v>1.0612079999999999</v>
      </c>
      <c r="M44" s="23">
        <f t="shared" si="18"/>
        <v>1.0303009999999999</v>
      </c>
      <c r="O44" s="36">
        <f t="shared" si="17"/>
        <v>8</v>
      </c>
      <c r="P44" s="36">
        <v>31</v>
      </c>
      <c r="R44" s="128">
        <f t="shared" si="0"/>
        <v>1979</v>
      </c>
      <c r="S44" s="143">
        <v>4.59</v>
      </c>
      <c r="T44" s="143">
        <v>4.6900000000000004</v>
      </c>
      <c r="U44" s="143">
        <v>4.8</v>
      </c>
      <c r="V44" s="143">
        <v>4.91</v>
      </c>
      <c r="W44" s="143">
        <v>5.04</v>
      </c>
      <c r="X44" s="143">
        <v>5.17</v>
      </c>
      <c r="Y44" s="143">
        <v>5.31</v>
      </c>
      <c r="Z44" s="143">
        <v>5.45</v>
      </c>
      <c r="AA44" s="143">
        <v>5.62</v>
      </c>
      <c r="AB44" s="143">
        <v>5.79</v>
      </c>
      <c r="AC44" s="143">
        <v>5.98</v>
      </c>
      <c r="AD44" s="143">
        <v>6.18</v>
      </c>
      <c r="AE44" s="143">
        <v>6.4</v>
      </c>
    </row>
    <row r="45" spans="1:31" s="14" customFormat="1" ht="26.45" customHeight="1">
      <c r="A45" s="6"/>
      <c r="B45" s="109"/>
      <c r="C45" s="12"/>
      <c r="D45" s="13"/>
      <c r="E45" s="13"/>
      <c r="F45" s="10"/>
      <c r="G45" s="10"/>
      <c r="H45" s="10"/>
      <c r="I45" s="3"/>
      <c r="J45" s="34"/>
      <c r="K45" s="17">
        <f t="shared" si="19"/>
        <v>4</v>
      </c>
      <c r="L45" s="23">
        <f t="shared" si="18"/>
        <v>1.08243216</v>
      </c>
      <c r="M45" s="23">
        <f t="shared" si="18"/>
        <v>1.04060401</v>
      </c>
      <c r="N45" s="3"/>
      <c r="O45" s="36">
        <f t="shared" si="17"/>
        <v>9</v>
      </c>
      <c r="P45" s="36">
        <v>30</v>
      </c>
      <c r="R45" s="128">
        <f t="shared" si="0"/>
        <v>1980</v>
      </c>
      <c r="S45" s="143">
        <v>4.59</v>
      </c>
      <c r="T45" s="143">
        <v>4.6900000000000004</v>
      </c>
      <c r="U45" s="143">
        <v>4.8</v>
      </c>
      <c r="V45" s="143">
        <v>4.91</v>
      </c>
      <c r="W45" s="143">
        <v>5.04</v>
      </c>
      <c r="X45" s="143">
        <v>5.17</v>
      </c>
      <c r="Y45" s="143">
        <v>5.31</v>
      </c>
      <c r="Z45" s="143">
        <v>5.45</v>
      </c>
      <c r="AA45" s="143">
        <v>5.62</v>
      </c>
      <c r="AB45" s="143">
        <v>5.79</v>
      </c>
      <c r="AC45" s="143">
        <v>5.98</v>
      </c>
      <c r="AD45" s="143">
        <v>6.18</v>
      </c>
      <c r="AE45" s="143">
        <v>6.4</v>
      </c>
    </row>
    <row r="46" spans="1:31" ht="16.149999999999999" customHeight="1">
      <c r="J46" s="34"/>
      <c r="K46" s="17">
        <f t="shared" si="19"/>
        <v>5</v>
      </c>
      <c r="L46" s="23">
        <f t="shared" si="18"/>
        <v>1.1040808032</v>
      </c>
      <c r="M46" s="23">
        <f t="shared" si="18"/>
        <v>1.0510100500999999</v>
      </c>
      <c r="O46" s="36">
        <f t="shared" si="17"/>
        <v>10</v>
      </c>
      <c r="P46" s="36">
        <v>31</v>
      </c>
      <c r="R46" s="128">
        <f t="shared" si="0"/>
        <v>1981</v>
      </c>
      <c r="S46" s="143">
        <v>4.59</v>
      </c>
      <c r="T46" s="143">
        <v>4.6900000000000004</v>
      </c>
      <c r="U46" s="143">
        <v>4.8</v>
      </c>
      <c r="V46" s="143">
        <v>4.91</v>
      </c>
      <c r="W46" s="143">
        <v>5.04</v>
      </c>
      <c r="X46" s="143">
        <v>5.17</v>
      </c>
      <c r="Y46" s="143">
        <v>5.31</v>
      </c>
      <c r="Z46" s="143">
        <v>5.45</v>
      </c>
      <c r="AA46" s="143">
        <v>5.62</v>
      </c>
      <c r="AB46" s="143">
        <v>5.79</v>
      </c>
      <c r="AC46" s="143">
        <v>5.98</v>
      </c>
      <c r="AD46" s="143">
        <v>6.18</v>
      </c>
      <c r="AE46" s="143">
        <v>6.4</v>
      </c>
    </row>
    <row r="47" spans="1:31" ht="16.149999999999999" customHeight="1">
      <c r="J47" s="34"/>
      <c r="K47" s="17">
        <f t="shared" si="19"/>
        <v>6</v>
      </c>
      <c r="L47" s="23">
        <f t="shared" si="18"/>
        <v>1.1261624192640001</v>
      </c>
      <c r="M47" s="23">
        <f t="shared" si="18"/>
        <v>1.0615201506009999</v>
      </c>
      <c r="O47" s="36">
        <f t="shared" si="17"/>
        <v>11</v>
      </c>
      <c r="P47" s="36">
        <v>30</v>
      </c>
      <c r="R47" s="128">
        <f>R46+1</f>
        <v>1982</v>
      </c>
      <c r="S47" s="143">
        <v>4.59</v>
      </c>
      <c r="T47" s="143">
        <v>4.6900000000000004</v>
      </c>
      <c r="U47" s="143">
        <v>4.8</v>
      </c>
      <c r="V47" s="143">
        <v>4.91</v>
      </c>
      <c r="W47" s="143">
        <v>5.04</v>
      </c>
      <c r="X47" s="143">
        <v>5.17</v>
      </c>
      <c r="Y47" s="143">
        <v>5.31</v>
      </c>
      <c r="Z47" s="143">
        <v>5.45</v>
      </c>
      <c r="AA47" s="143">
        <v>5.62</v>
      </c>
      <c r="AB47" s="143">
        <v>5.79</v>
      </c>
      <c r="AC47" s="143">
        <v>5.98</v>
      </c>
      <c r="AD47" s="143">
        <v>6.18</v>
      </c>
      <c r="AE47" s="143">
        <v>6.4</v>
      </c>
    </row>
    <row r="48" spans="1:31" ht="16.149999999999999" customHeight="1">
      <c r="K48" s="17">
        <f t="shared" si="19"/>
        <v>7</v>
      </c>
      <c r="L48" s="23">
        <f t="shared" si="18"/>
        <v>1.14868566764928</v>
      </c>
      <c r="M48" s="23">
        <f t="shared" si="18"/>
        <v>1.0721353521070098</v>
      </c>
      <c r="O48" s="36">
        <f>O47+1</f>
        <v>12</v>
      </c>
      <c r="P48" s="36">
        <v>31</v>
      </c>
      <c r="R48" s="128">
        <f t="shared" si="0"/>
        <v>1983</v>
      </c>
      <c r="S48" s="143">
        <v>4.59</v>
      </c>
      <c r="T48" s="143">
        <v>4.6900000000000004</v>
      </c>
      <c r="U48" s="143">
        <v>4.8</v>
      </c>
      <c r="V48" s="143">
        <v>4.91</v>
      </c>
      <c r="W48" s="143">
        <v>5.04</v>
      </c>
      <c r="X48" s="143">
        <v>5.17</v>
      </c>
      <c r="Y48" s="143">
        <v>5.31</v>
      </c>
      <c r="Z48" s="143">
        <v>5.45</v>
      </c>
      <c r="AA48" s="143">
        <v>5.62</v>
      </c>
      <c r="AB48" s="143">
        <v>5.79</v>
      </c>
      <c r="AC48" s="143">
        <v>5.98</v>
      </c>
      <c r="AD48" s="143">
        <v>6.18</v>
      </c>
      <c r="AE48" s="143">
        <v>6.4</v>
      </c>
    </row>
    <row r="49" spans="10:31" ht="16.149999999999999" customHeight="1">
      <c r="K49" s="17">
        <f t="shared" si="19"/>
        <v>8</v>
      </c>
      <c r="L49" s="23">
        <f t="shared" si="18"/>
        <v>1.1716593810022657</v>
      </c>
      <c r="M49" s="23">
        <f t="shared" si="18"/>
        <v>1.08285670562808</v>
      </c>
      <c r="R49" s="128">
        <f t="shared" si="0"/>
        <v>1984</v>
      </c>
      <c r="S49" s="143">
        <v>4.59</v>
      </c>
      <c r="T49" s="143">
        <v>4.6900000000000004</v>
      </c>
      <c r="U49" s="143">
        <v>4.8</v>
      </c>
      <c r="V49" s="143">
        <v>4.91</v>
      </c>
      <c r="W49" s="143">
        <v>5.04</v>
      </c>
      <c r="X49" s="143">
        <v>5.17</v>
      </c>
      <c r="Y49" s="143">
        <v>5.31</v>
      </c>
      <c r="Z49" s="143">
        <v>5.45</v>
      </c>
      <c r="AA49" s="143">
        <v>5.62</v>
      </c>
      <c r="AB49" s="143">
        <v>5.79</v>
      </c>
      <c r="AC49" s="143">
        <v>5.98</v>
      </c>
      <c r="AD49" s="143">
        <v>6.18</v>
      </c>
      <c r="AE49" s="143">
        <v>6.4</v>
      </c>
    </row>
    <row r="50" spans="10:31" ht="16.149999999999999" customHeight="1">
      <c r="K50" s="17">
        <f t="shared" si="19"/>
        <v>9</v>
      </c>
      <c r="L50" s="23">
        <f t="shared" si="18"/>
        <v>1.1950925686223111</v>
      </c>
      <c r="M50" s="23">
        <f t="shared" si="18"/>
        <v>1.0936852726843609</v>
      </c>
      <c r="R50" s="128">
        <f t="shared" si="0"/>
        <v>1985</v>
      </c>
      <c r="S50" s="143">
        <v>4.59</v>
      </c>
      <c r="T50" s="143">
        <v>4.6900000000000004</v>
      </c>
      <c r="U50" s="143">
        <v>4.8</v>
      </c>
      <c r="V50" s="143">
        <v>4.91</v>
      </c>
      <c r="W50" s="143">
        <v>5.04</v>
      </c>
      <c r="X50" s="143">
        <v>5.17</v>
      </c>
      <c r="Y50" s="143">
        <v>5.31</v>
      </c>
      <c r="Z50" s="143">
        <v>5.45</v>
      </c>
      <c r="AA50" s="143">
        <v>5.62</v>
      </c>
      <c r="AB50" s="143">
        <v>5.79</v>
      </c>
      <c r="AC50" s="143">
        <v>5.98</v>
      </c>
      <c r="AD50" s="143">
        <v>6.18</v>
      </c>
      <c r="AE50" s="143">
        <v>6.4</v>
      </c>
    </row>
    <row r="51" spans="10:31" ht="16.149999999999999" customHeight="1">
      <c r="K51" s="17">
        <f t="shared" si="19"/>
        <v>10</v>
      </c>
      <c r="L51" s="23">
        <f t="shared" si="18"/>
        <v>1.2189944199947573</v>
      </c>
      <c r="M51" s="23">
        <f t="shared" si="18"/>
        <v>1.1046221254112045</v>
      </c>
      <c r="R51" s="128">
        <f t="shared" si="0"/>
        <v>1986</v>
      </c>
      <c r="S51" s="143">
        <v>4.59</v>
      </c>
      <c r="T51" s="143">
        <v>4.6900000000000004</v>
      </c>
      <c r="U51" s="143">
        <v>4.8</v>
      </c>
      <c r="V51" s="143">
        <v>4.91</v>
      </c>
      <c r="W51" s="143">
        <v>5.04</v>
      </c>
      <c r="X51" s="143">
        <v>5.17</v>
      </c>
      <c r="Y51" s="143">
        <v>5.31</v>
      </c>
      <c r="Z51" s="143">
        <v>5.45</v>
      </c>
      <c r="AA51" s="143">
        <v>5.62</v>
      </c>
      <c r="AB51" s="143">
        <v>5.79</v>
      </c>
      <c r="AC51" s="143">
        <v>5.98</v>
      </c>
      <c r="AD51" s="143">
        <v>6.18</v>
      </c>
      <c r="AE51" s="143">
        <v>6.4</v>
      </c>
    </row>
    <row r="52" spans="10:31">
      <c r="K52" s="17">
        <f t="shared" si="19"/>
        <v>11</v>
      </c>
      <c r="L52" s="23">
        <f t="shared" si="18"/>
        <v>1.2433743083946525</v>
      </c>
      <c r="M52" s="23">
        <f t="shared" si="18"/>
        <v>1.1156683466653166</v>
      </c>
      <c r="R52" s="128">
        <f t="shared" si="0"/>
        <v>1987</v>
      </c>
      <c r="S52" s="143">
        <v>4.59</v>
      </c>
      <c r="T52" s="143">
        <v>4.6900000000000004</v>
      </c>
      <c r="U52" s="143">
        <v>4.8</v>
      </c>
      <c r="V52" s="143">
        <v>4.91</v>
      </c>
      <c r="W52" s="143">
        <v>5.04</v>
      </c>
      <c r="X52" s="143">
        <v>5.17</v>
      </c>
      <c r="Y52" s="143">
        <v>5.31</v>
      </c>
      <c r="Z52" s="143">
        <v>5.45</v>
      </c>
      <c r="AA52" s="143">
        <v>5.62</v>
      </c>
      <c r="AB52" s="143">
        <v>5.79</v>
      </c>
      <c r="AC52" s="143">
        <v>5.98</v>
      </c>
      <c r="AD52" s="143">
        <v>6.18</v>
      </c>
      <c r="AE52" s="143">
        <v>6.4</v>
      </c>
    </row>
    <row r="53" spans="10:31">
      <c r="J53" s="35"/>
      <c r="K53" s="17">
        <f t="shared" si="19"/>
        <v>12</v>
      </c>
      <c r="L53" s="23">
        <f t="shared" si="18"/>
        <v>1.2682417945625455</v>
      </c>
      <c r="M53" s="23">
        <f t="shared" si="18"/>
        <v>1.1268250301319698</v>
      </c>
      <c r="R53" s="128">
        <f t="shared" si="0"/>
        <v>1988</v>
      </c>
      <c r="S53" s="143">
        <v>4.59</v>
      </c>
      <c r="T53" s="143">
        <v>4.6900000000000004</v>
      </c>
      <c r="U53" s="143">
        <v>4.8</v>
      </c>
      <c r="V53" s="143">
        <v>4.91</v>
      </c>
      <c r="W53" s="143">
        <v>5.04</v>
      </c>
      <c r="X53" s="143">
        <v>5.17</v>
      </c>
      <c r="Y53" s="143">
        <v>5.31</v>
      </c>
      <c r="Z53" s="143">
        <v>5.45</v>
      </c>
      <c r="AA53" s="143">
        <v>5.62</v>
      </c>
      <c r="AB53" s="143">
        <v>5.79</v>
      </c>
      <c r="AC53" s="143">
        <v>5.98</v>
      </c>
      <c r="AD53" s="143">
        <v>6.18</v>
      </c>
      <c r="AE53" s="143">
        <v>6.4</v>
      </c>
    </row>
    <row r="54" spans="10:31">
      <c r="K54" s="17">
        <f t="shared" si="19"/>
        <v>13</v>
      </c>
      <c r="L54" s="23">
        <f t="shared" si="18"/>
        <v>1.2936066304537963</v>
      </c>
      <c r="M54" s="23">
        <f t="shared" si="18"/>
        <v>1.1380932804332895</v>
      </c>
      <c r="R54" s="128">
        <f t="shared" si="0"/>
        <v>1989</v>
      </c>
      <c r="S54" s="143">
        <v>4.59</v>
      </c>
      <c r="T54" s="143">
        <v>4.6900000000000004</v>
      </c>
      <c r="U54" s="143">
        <v>4.8</v>
      </c>
      <c r="V54" s="143">
        <v>4.91</v>
      </c>
      <c r="W54" s="143">
        <v>5.04</v>
      </c>
      <c r="X54" s="143">
        <v>5.17</v>
      </c>
      <c r="Y54" s="143">
        <v>5.31</v>
      </c>
      <c r="Z54" s="143">
        <v>5.45</v>
      </c>
      <c r="AA54" s="143">
        <v>5.62</v>
      </c>
      <c r="AB54" s="143">
        <v>5.79</v>
      </c>
      <c r="AC54" s="143">
        <v>5.98</v>
      </c>
      <c r="AD54" s="143">
        <v>6.18</v>
      </c>
      <c r="AE54" s="143">
        <v>6.4</v>
      </c>
    </row>
    <row r="55" spans="10:31">
      <c r="K55" s="17">
        <f t="shared" si="19"/>
        <v>14</v>
      </c>
      <c r="L55" s="23">
        <f t="shared" si="18"/>
        <v>1.3194787630628724</v>
      </c>
      <c r="M55" s="23">
        <f t="shared" si="18"/>
        <v>1.1494742132376223</v>
      </c>
      <c r="R55" s="128">
        <f>R54+1</f>
        <v>1990</v>
      </c>
      <c r="S55" s="143">
        <v>4.59</v>
      </c>
      <c r="T55" s="143">
        <v>4.6900000000000004</v>
      </c>
      <c r="U55" s="143">
        <v>4.8</v>
      </c>
      <c r="V55" s="143">
        <v>4.91</v>
      </c>
      <c r="W55" s="143">
        <v>5.04</v>
      </c>
      <c r="X55" s="143">
        <v>5.17</v>
      </c>
      <c r="Y55" s="143">
        <v>5.31</v>
      </c>
      <c r="Z55" s="143">
        <v>5.45</v>
      </c>
      <c r="AA55" s="143">
        <v>5.62</v>
      </c>
      <c r="AB55" s="143">
        <v>5.79</v>
      </c>
      <c r="AC55" s="143">
        <v>5.98</v>
      </c>
      <c r="AD55" s="143">
        <v>6.18</v>
      </c>
      <c r="AE55" s="143">
        <v>6.4</v>
      </c>
    </row>
    <row r="56" spans="10:31">
      <c r="K56" s="17">
        <f t="shared" si="19"/>
        <v>15</v>
      </c>
      <c r="L56" s="23">
        <f t="shared" si="18"/>
        <v>1.3458683383241299</v>
      </c>
      <c r="M56" s="23">
        <f t="shared" si="18"/>
        <v>1.1609689553699987</v>
      </c>
      <c r="R56" s="128">
        <f t="shared" si="0"/>
        <v>1991</v>
      </c>
      <c r="S56" s="143">
        <v>4.59</v>
      </c>
      <c r="T56" s="143">
        <v>4.6900000000000004</v>
      </c>
      <c r="U56" s="143">
        <v>4.8</v>
      </c>
      <c r="V56" s="143">
        <v>4.91</v>
      </c>
      <c r="W56" s="143">
        <v>5.04</v>
      </c>
      <c r="X56" s="143">
        <v>5.17</v>
      </c>
      <c r="Y56" s="143">
        <v>5.31</v>
      </c>
      <c r="Z56" s="143">
        <v>5.45</v>
      </c>
      <c r="AA56" s="143">
        <v>5.62</v>
      </c>
      <c r="AB56" s="143">
        <v>5.79</v>
      </c>
      <c r="AC56" s="143">
        <v>5.98</v>
      </c>
      <c r="AD56" s="143">
        <v>6.18</v>
      </c>
      <c r="AE56" s="143">
        <v>6.4</v>
      </c>
    </row>
    <row r="57" spans="10:31">
      <c r="K57" s="17">
        <f t="shared" si="19"/>
        <v>16</v>
      </c>
      <c r="L57" s="23">
        <f t="shared" si="18"/>
        <v>1.3727857050906125</v>
      </c>
      <c r="M57" s="23">
        <f t="shared" si="18"/>
        <v>1.1725786449236986</v>
      </c>
      <c r="R57" s="128">
        <f t="shared" si="0"/>
        <v>1992</v>
      </c>
      <c r="S57" s="143">
        <v>4.59</v>
      </c>
      <c r="T57" s="143">
        <v>4.6900000000000004</v>
      </c>
      <c r="U57" s="143">
        <v>4.8</v>
      </c>
      <c r="V57" s="143">
        <v>4.91</v>
      </c>
      <c r="W57" s="143">
        <v>5.04</v>
      </c>
      <c r="X57" s="143">
        <v>5.17</v>
      </c>
      <c r="Y57" s="143">
        <v>5.31</v>
      </c>
      <c r="Z57" s="143">
        <v>5.45</v>
      </c>
      <c r="AA57" s="143">
        <v>5.62</v>
      </c>
      <c r="AB57" s="143">
        <v>5.79</v>
      </c>
      <c r="AC57" s="143">
        <v>5.98</v>
      </c>
      <c r="AD57" s="143">
        <v>6.18</v>
      </c>
      <c r="AE57" s="143">
        <v>6.4</v>
      </c>
    </row>
    <row r="58" spans="10:31">
      <c r="K58" s="17">
        <f t="shared" si="19"/>
        <v>17</v>
      </c>
      <c r="L58" s="23">
        <f t="shared" si="18"/>
        <v>1.4002414191924248</v>
      </c>
      <c r="M58" s="23">
        <f t="shared" si="18"/>
        <v>1.1843044313729356</v>
      </c>
      <c r="R58" s="128">
        <f t="shared" si="0"/>
        <v>1993</v>
      </c>
      <c r="S58" s="143">
        <v>4.59</v>
      </c>
      <c r="T58" s="143">
        <v>4.6900000000000004</v>
      </c>
      <c r="U58" s="143">
        <v>4.8</v>
      </c>
      <c r="V58" s="143">
        <v>4.91</v>
      </c>
      <c r="W58" s="143">
        <v>5.04</v>
      </c>
      <c r="X58" s="143">
        <v>5.17</v>
      </c>
      <c r="Y58" s="143">
        <v>5.31</v>
      </c>
      <c r="Z58" s="143">
        <v>5.45</v>
      </c>
      <c r="AA58" s="143">
        <v>5.62</v>
      </c>
      <c r="AB58" s="143">
        <v>5.79</v>
      </c>
      <c r="AC58" s="143">
        <v>5.98</v>
      </c>
      <c r="AD58" s="143">
        <v>6.18</v>
      </c>
      <c r="AE58" s="143">
        <v>6.4</v>
      </c>
    </row>
    <row r="59" spans="10:31">
      <c r="K59" s="17">
        <f t="shared" si="19"/>
        <v>18</v>
      </c>
      <c r="L59" s="23">
        <f t="shared" si="18"/>
        <v>1.4282462475762734</v>
      </c>
      <c r="M59" s="23">
        <f t="shared" si="18"/>
        <v>1.196147475686665</v>
      </c>
      <c r="R59" s="128">
        <f>R58+1</f>
        <v>1994</v>
      </c>
      <c r="S59" s="143">
        <v>4.59</v>
      </c>
      <c r="T59" s="143">
        <v>4.6900000000000004</v>
      </c>
      <c r="U59" s="143">
        <v>4.8</v>
      </c>
      <c r="V59" s="143">
        <v>4.91</v>
      </c>
      <c r="W59" s="143">
        <v>5.04</v>
      </c>
      <c r="X59" s="143">
        <v>5.17</v>
      </c>
      <c r="Y59" s="143">
        <v>5.31</v>
      </c>
      <c r="Z59" s="143">
        <v>5.45</v>
      </c>
      <c r="AA59" s="143">
        <v>5.62</v>
      </c>
      <c r="AB59" s="143">
        <v>5.79</v>
      </c>
      <c r="AC59" s="143">
        <v>5.98</v>
      </c>
      <c r="AD59" s="143">
        <v>6.18</v>
      </c>
      <c r="AE59" s="143">
        <v>6.4</v>
      </c>
    </row>
    <row r="60" spans="10:31">
      <c r="K60" s="17">
        <f t="shared" si="19"/>
        <v>19</v>
      </c>
      <c r="L60" s="23">
        <f t="shared" si="18"/>
        <v>1.4568111725277988</v>
      </c>
      <c r="M60" s="23">
        <f t="shared" si="18"/>
        <v>1.2081089504435316</v>
      </c>
      <c r="R60" s="128">
        <f t="shared" si="0"/>
        <v>1995</v>
      </c>
      <c r="S60" s="143">
        <v>4.59</v>
      </c>
      <c r="T60" s="143">
        <v>4.6900000000000004</v>
      </c>
      <c r="U60" s="143">
        <v>4.8</v>
      </c>
      <c r="V60" s="143">
        <v>4.91</v>
      </c>
      <c r="W60" s="143">
        <v>5.04</v>
      </c>
      <c r="X60" s="143">
        <v>5.17</v>
      </c>
      <c r="Y60" s="143">
        <v>5.31</v>
      </c>
      <c r="Z60" s="143">
        <v>5.45</v>
      </c>
      <c r="AA60" s="143">
        <v>5.62</v>
      </c>
      <c r="AB60" s="143">
        <v>5.79</v>
      </c>
      <c r="AC60" s="143">
        <v>5.98</v>
      </c>
      <c r="AD60" s="143">
        <v>6.18</v>
      </c>
      <c r="AE60" s="143">
        <v>6.4</v>
      </c>
    </row>
    <row r="61" spans="10:31">
      <c r="K61" s="17">
        <f t="shared" si="19"/>
        <v>20</v>
      </c>
      <c r="L61" s="23">
        <f t="shared" si="18"/>
        <v>1.4859473959783549</v>
      </c>
      <c r="M61" s="23">
        <f t="shared" si="18"/>
        <v>1.220190039947967</v>
      </c>
      <c r="R61" s="128">
        <f t="shared" si="0"/>
        <v>1996</v>
      </c>
      <c r="S61" s="143">
        <v>4.59</v>
      </c>
      <c r="T61" s="143">
        <v>4.6900000000000004</v>
      </c>
      <c r="U61" s="143">
        <v>4.8</v>
      </c>
      <c r="V61" s="143">
        <v>4.91</v>
      </c>
      <c r="W61" s="143">
        <v>5.04</v>
      </c>
      <c r="X61" s="143">
        <v>5.17</v>
      </c>
      <c r="Y61" s="143">
        <v>5.31</v>
      </c>
      <c r="Z61" s="143">
        <v>5.45</v>
      </c>
      <c r="AA61" s="143">
        <v>5.62</v>
      </c>
      <c r="AB61" s="143">
        <v>5.79</v>
      </c>
      <c r="AC61" s="143">
        <v>5.98</v>
      </c>
      <c r="AD61" s="143">
        <v>6.18</v>
      </c>
      <c r="AE61" s="143">
        <v>6.4</v>
      </c>
    </row>
    <row r="62" spans="10:31">
      <c r="K62" s="17">
        <f t="shared" si="19"/>
        <v>21</v>
      </c>
      <c r="L62" s="23">
        <f t="shared" si="18"/>
        <v>1.5156663438979221</v>
      </c>
      <c r="M62" s="23">
        <f t="shared" si="18"/>
        <v>1.2323919403474468</v>
      </c>
    </row>
    <row r="63" spans="10:31">
      <c r="K63" s="17">
        <f t="shared" si="19"/>
        <v>22</v>
      </c>
      <c r="L63" s="23">
        <f t="shared" si="18"/>
        <v>1.5459796707758806</v>
      </c>
      <c r="M63" s="23">
        <f t="shared" si="18"/>
        <v>1.2447158597509214</v>
      </c>
    </row>
    <row r="64" spans="10:31">
      <c r="K64" s="17">
        <f t="shared" si="19"/>
        <v>23</v>
      </c>
      <c r="L64" s="23">
        <f t="shared" si="18"/>
        <v>1.5768992641913981</v>
      </c>
      <c r="M64" s="23">
        <f t="shared" si="18"/>
        <v>1.2571630183484306</v>
      </c>
    </row>
    <row r="65" spans="11:13">
      <c r="K65" s="17">
        <f t="shared" si="19"/>
        <v>24</v>
      </c>
      <c r="L65" s="23">
        <f t="shared" si="18"/>
        <v>1.6084372494752261</v>
      </c>
      <c r="M65" s="23">
        <f t="shared" si="18"/>
        <v>1.269734648531915</v>
      </c>
    </row>
    <row r="66" spans="11:13">
      <c r="K66" s="17">
        <f t="shared" si="19"/>
        <v>25</v>
      </c>
      <c r="L66" s="23">
        <f t="shared" si="18"/>
        <v>1.6406059944647307</v>
      </c>
      <c r="M66" s="23">
        <f t="shared" si="18"/>
        <v>1.282431995017234</v>
      </c>
    </row>
    <row r="67" spans="11:13">
      <c r="K67" s="17">
        <f t="shared" si="19"/>
        <v>26</v>
      </c>
      <c r="L67" s="23">
        <f t="shared" si="18"/>
        <v>1.6734181143540252</v>
      </c>
      <c r="M67" s="23">
        <f t="shared" si="18"/>
        <v>1.2952563149674063</v>
      </c>
    </row>
    <row r="68" spans="11:13">
      <c r="K68" s="17">
        <f t="shared" si="19"/>
        <v>27</v>
      </c>
      <c r="L68" s="23">
        <f t="shared" si="18"/>
        <v>1.7068864766411058</v>
      </c>
      <c r="M68" s="23">
        <f t="shared" si="18"/>
        <v>1.3082088781170804</v>
      </c>
    </row>
    <row r="69" spans="11:13">
      <c r="K69" s="17">
        <f t="shared" si="19"/>
        <v>28</v>
      </c>
      <c r="L69" s="23">
        <f t="shared" si="18"/>
        <v>1.7410242061739281</v>
      </c>
      <c r="M69" s="23">
        <f t="shared" si="18"/>
        <v>1.3212909668982513</v>
      </c>
    </row>
    <row r="70" spans="11:13">
      <c r="K70" s="17">
        <f t="shared" si="19"/>
        <v>29</v>
      </c>
      <c r="L70" s="23">
        <f t="shared" si="18"/>
        <v>1.7758446902974065</v>
      </c>
      <c r="M70" s="23">
        <f t="shared" si="18"/>
        <v>1.3345038765672339</v>
      </c>
    </row>
    <row r="71" spans="11:13">
      <c r="K71" s="17">
        <f t="shared" si="19"/>
        <v>30</v>
      </c>
      <c r="L71" s="23">
        <f t="shared" si="18"/>
        <v>1.8113615841033548</v>
      </c>
      <c r="M71" s="23">
        <f t="shared" si="18"/>
        <v>1.3478489153329063</v>
      </c>
    </row>
    <row r="72" spans="11:13">
      <c r="K72" s="17">
        <f t="shared" si="19"/>
        <v>31</v>
      </c>
      <c r="L72" s="23">
        <f t="shared" si="18"/>
        <v>1.8475888157854219</v>
      </c>
      <c r="M72" s="23">
        <f t="shared" si="18"/>
        <v>1.3613274044862353</v>
      </c>
    </row>
    <row r="73" spans="11:13">
      <c r="K73" s="17">
        <f t="shared" si="19"/>
        <v>32</v>
      </c>
      <c r="L73" s="23">
        <f t="shared" si="18"/>
        <v>1.8845405921011305</v>
      </c>
      <c r="M73" s="23">
        <f t="shared" si="18"/>
        <v>1.3749406785310978</v>
      </c>
    </row>
    <row r="74" spans="11:13">
      <c r="K74" s="17">
        <f t="shared" si="19"/>
        <v>33</v>
      </c>
      <c r="L74" s="23">
        <f t="shared" si="18"/>
        <v>1.9222314039431532</v>
      </c>
      <c r="M74" s="23">
        <f t="shared" si="18"/>
        <v>1.3886900853164088</v>
      </c>
    </row>
    <row r="75" spans="11:13">
      <c r="K75" s="17">
        <f t="shared" si="19"/>
        <v>34</v>
      </c>
      <c r="L75" s="23">
        <f t="shared" si="18"/>
        <v>1.9606760320220162</v>
      </c>
      <c r="M75" s="23">
        <f t="shared" si="18"/>
        <v>1.4025769861695729</v>
      </c>
    </row>
    <row r="76" spans="11:13">
      <c r="K76" s="17">
        <f t="shared" si="19"/>
        <v>35</v>
      </c>
      <c r="L76" s="23">
        <f t="shared" si="18"/>
        <v>1.9998895526624565</v>
      </c>
      <c r="M76" s="23">
        <f t="shared" si="18"/>
        <v>1.4166027560312686</v>
      </c>
    </row>
    <row r="77" spans="11:13">
      <c r="K77" s="17">
        <f t="shared" si="19"/>
        <v>36</v>
      </c>
      <c r="L77" s="23">
        <f t="shared" si="18"/>
        <v>2.0398873437157055</v>
      </c>
      <c r="M77" s="23">
        <f t="shared" si="18"/>
        <v>1.4307687835915812</v>
      </c>
    </row>
    <row r="78" spans="11:13">
      <c r="K78" s="17">
        <f t="shared" si="19"/>
        <v>37</v>
      </c>
      <c r="L78" s="23">
        <f t="shared" si="18"/>
        <v>2.0806850905900198</v>
      </c>
      <c r="M78" s="23">
        <f t="shared" si="18"/>
        <v>1.4450764714274971</v>
      </c>
    </row>
    <row r="79" spans="11:13">
      <c r="K79" s="17">
        <f t="shared" si="19"/>
        <v>38</v>
      </c>
      <c r="L79" s="23">
        <f t="shared" si="18"/>
        <v>2.1222987924018204</v>
      </c>
      <c r="M79" s="23">
        <f t="shared" si="18"/>
        <v>1.4595272361417722</v>
      </c>
    </row>
    <row r="80" spans="11:13">
      <c r="K80" s="17">
        <f t="shared" si="19"/>
        <v>39</v>
      </c>
      <c r="L80" s="23">
        <f t="shared" si="18"/>
        <v>2.1647447682498568</v>
      </c>
      <c r="M80" s="23">
        <f t="shared" si="18"/>
        <v>1.4741225085031899</v>
      </c>
    </row>
    <row r="81" spans="11:14">
      <c r="K81" s="17">
        <f t="shared" si="19"/>
        <v>40</v>
      </c>
      <c r="L81" s="23">
        <f t="shared" si="18"/>
        <v>2.208039663614854</v>
      </c>
      <c r="M81" s="23">
        <f t="shared" si="18"/>
        <v>1.4888637335882218</v>
      </c>
    </row>
    <row r="83" spans="11:14">
      <c r="M83" s="14"/>
      <c r="N83" s="14"/>
    </row>
  </sheetData>
  <sheetProtection password="9550" sheet="1" objects="1" scenarios="1"/>
  <mergeCells count="38">
    <mergeCell ref="F25:I25"/>
    <mergeCell ref="A43:I43"/>
    <mergeCell ref="A27:I27"/>
    <mergeCell ref="A29:I29"/>
    <mergeCell ref="E31:F31"/>
    <mergeCell ref="A30:I30"/>
    <mergeCell ref="H32:I32"/>
    <mergeCell ref="E32:F32"/>
    <mergeCell ref="H31:I31"/>
    <mergeCell ref="G33:H33"/>
    <mergeCell ref="D33:E33"/>
    <mergeCell ref="F22:I22"/>
    <mergeCell ref="F23:I23"/>
    <mergeCell ref="E6:I6"/>
    <mergeCell ref="H17:I17"/>
    <mergeCell ref="F17:G17"/>
    <mergeCell ref="H18:I18"/>
    <mergeCell ref="H19:I19"/>
    <mergeCell ref="H20:I20"/>
    <mergeCell ref="H12:I12"/>
    <mergeCell ref="F7:I7"/>
    <mergeCell ref="F9:I9"/>
    <mergeCell ref="F18:G18"/>
    <mergeCell ref="F19:G19"/>
    <mergeCell ref="F20:G20"/>
    <mergeCell ref="A1:I1"/>
    <mergeCell ref="F13:G13"/>
    <mergeCell ref="F14:G14"/>
    <mergeCell ref="F15:G15"/>
    <mergeCell ref="F16:G16"/>
    <mergeCell ref="H13:I13"/>
    <mergeCell ref="H14:I14"/>
    <mergeCell ref="H15:I15"/>
    <mergeCell ref="H16:I16"/>
    <mergeCell ref="A2:I2"/>
    <mergeCell ref="F10:I10"/>
    <mergeCell ref="F12:G12"/>
    <mergeCell ref="F11:I11"/>
  </mergeCells>
  <phoneticPr fontId="3" type="noConversion"/>
  <pageMargins left="0.39370078740157483" right="0.15748031496062992" top="0.39370078740157483" bottom="0.39370078740157483" header="0" footer="0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 2</vt:lpstr>
      <vt:lpstr>Web</vt:lpstr>
      <vt:lpstr>Web!Druckbereich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 Vogt</dc:creator>
  <cp:lastModifiedBy>Roland</cp:lastModifiedBy>
  <cp:lastPrinted>2017-06-17T11:18:19Z</cp:lastPrinted>
  <dcterms:created xsi:type="dcterms:W3CDTF">2003-12-17T20:17:08Z</dcterms:created>
  <dcterms:modified xsi:type="dcterms:W3CDTF">2017-06-18T11:09:17Z</dcterms:modified>
</cp:coreProperties>
</file>